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E:\POA\"/>
    </mc:Choice>
  </mc:AlternateContent>
  <bookViews>
    <workbookView xWindow="-120" yWindow="-120" windowWidth="21840" windowHeight="13140" tabRatio="729" firstSheet="4" activeTab="4"/>
  </bookViews>
  <sheets>
    <sheet name="METAS PDD 2011" sheetId="5" state="hidden" r:id="rId1"/>
    <sheet name="METAS PROYECTO" sheetId="4" state="hidden" r:id="rId2"/>
    <sheet name="Consolid" sheetId="20" state="hidden" r:id="rId3"/>
    <sheet name="Consolidado" sheetId="21" state="hidden" r:id="rId4"/>
    <sheet name="Resúmen Cumpl" sheetId="22" r:id="rId5"/>
    <sheet name="PE02, PA01, PA03, PA04, PA05" sheetId="6" r:id="rId6"/>
    <sheet name="PM 01 y PM05" sheetId="11" r:id="rId7"/>
    <sheet name="PM 02 y Pm04" sheetId="9" r:id="rId8"/>
    <sheet name="PE01" sheetId="18" r:id="rId9"/>
    <sheet name="PA02" sheetId="13" r:id="rId10"/>
    <sheet name="PE03" sheetId="19" r:id="rId11"/>
  </sheets>
  <externalReferences>
    <externalReference r:id="rId12"/>
  </externalReferences>
  <definedNames>
    <definedName name="_xlnm.Print_Area" localSheetId="0">'METAS PDD 2011'!$A$1:$Q$21</definedName>
    <definedName name="_xlnm.Print_Area" localSheetId="1">'METAS PROYECTO'!$A$1:$J$18</definedName>
    <definedName name="_xlnm.Print_Area" localSheetId="4">'Resúmen Cumpl'!$A$1:$V$81</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24" i="22" l="1"/>
  <c r="AH23" i="22"/>
  <c r="AH22" i="22"/>
  <c r="AH21" i="22"/>
  <c r="AH20" i="22"/>
  <c r="AH19" i="22"/>
  <c r="AH18" i="22"/>
  <c r="AH17" i="22"/>
  <c r="AH16" i="22"/>
  <c r="AH15" i="22"/>
  <c r="AH14" i="22"/>
  <c r="AH25" i="22"/>
  <c r="AB80" i="22"/>
  <c r="AB78" i="22"/>
  <c r="AB69" i="22"/>
  <c r="AB59" i="22"/>
  <c r="AB54" i="22"/>
  <c r="AB53" i="22"/>
  <c r="AB46" i="22"/>
  <c r="AB42" i="22"/>
  <c r="AB25" i="22"/>
  <c r="AB24" i="22"/>
  <c r="AB18" i="22"/>
  <c r="AB13" i="22"/>
  <c r="Z38" i="22"/>
  <c r="Y35" i="22"/>
  <c r="Z81" i="22"/>
  <c r="Y81" i="22"/>
  <c r="Y80" i="22"/>
  <c r="Z79" i="22"/>
  <c r="Y79" i="22"/>
  <c r="Y78" i="22"/>
  <c r="Z77" i="22"/>
  <c r="Y77" i="22"/>
  <c r="Y76" i="22"/>
  <c r="Y75" i="22"/>
  <c r="Z74" i="22"/>
  <c r="Y74" i="22"/>
  <c r="Y73" i="22"/>
  <c r="Z72" i="22"/>
  <c r="Y72" i="22"/>
  <c r="Y71" i="22"/>
  <c r="Z70" i="22"/>
  <c r="Y70" i="22"/>
  <c r="Z69" i="22"/>
  <c r="Y69" i="22"/>
  <c r="Z68" i="22"/>
  <c r="Y68" i="22"/>
  <c r="Y67" i="22"/>
  <c r="Y66" i="22"/>
  <c r="Y65" i="22"/>
  <c r="Y64" i="22"/>
  <c r="Y63" i="22"/>
  <c r="Y62" i="22"/>
  <c r="Z61" i="22"/>
  <c r="Y61" i="22"/>
  <c r="Z60" i="22"/>
  <c r="Y60" i="22"/>
  <c r="Z59" i="22"/>
  <c r="Y59" i="22"/>
  <c r="Z58" i="22"/>
  <c r="AB55" i="22" s="1"/>
  <c r="Y58" i="22"/>
  <c r="Y57" i="22"/>
  <c r="Y56" i="22"/>
  <c r="Z55" i="22"/>
  <c r="Y55" i="22"/>
  <c r="Z54" i="22"/>
  <c r="Y54" i="22"/>
  <c r="Z53" i="22"/>
  <c r="Y53" i="22"/>
  <c r="Y52" i="22"/>
  <c r="Y51" i="22"/>
  <c r="Y50" i="22"/>
  <c r="Y49" i="22"/>
  <c r="Y48" i="22"/>
  <c r="Y47" i="22"/>
  <c r="Z46" i="22"/>
  <c r="Y46" i="22"/>
  <c r="Y45" i="22"/>
  <c r="Z44" i="22"/>
  <c r="Y44" i="22"/>
  <c r="Z43" i="22"/>
  <c r="Y43" i="22"/>
  <c r="Z42" i="22"/>
  <c r="Y42" i="22"/>
  <c r="Z41" i="22"/>
  <c r="Y41" i="22"/>
  <c r="Z40" i="22"/>
  <c r="Y40" i="22"/>
  <c r="Z39" i="22"/>
  <c r="Y39" i="22"/>
  <c r="Z37" i="22"/>
  <c r="Y37" i="22"/>
  <c r="Z36" i="22"/>
  <c r="Y36" i="22"/>
  <c r="Z34" i="22"/>
  <c r="Y34" i="22"/>
  <c r="Z33" i="22"/>
  <c r="Y33" i="22"/>
  <c r="Z32" i="22"/>
  <c r="Y32" i="22"/>
  <c r="Z31" i="22"/>
  <c r="Y31" i="22"/>
  <c r="Z30" i="22"/>
  <c r="Y30" i="22"/>
  <c r="Z29" i="22"/>
  <c r="Y29" i="22"/>
  <c r="Z27" i="22"/>
  <c r="Y27" i="22"/>
  <c r="Z26" i="22"/>
  <c r="Y26" i="22"/>
  <c r="Z25" i="22"/>
  <c r="Y25" i="22"/>
  <c r="Z24" i="22"/>
  <c r="Y24" i="22"/>
  <c r="Y23" i="22"/>
  <c r="Z22" i="22"/>
  <c r="Y22" i="22"/>
  <c r="Y21" i="22"/>
  <c r="Y20" i="22"/>
  <c r="Z19" i="22"/>
  <c r="Y19" i="22"/>
  <c r="Y18" i="22"/>
  <c r="Z17" i="22"/>
  <c r="Y17" i="22"/>
  <c r="Z16" i="22"/>
  <c r="Y16" i="22"/>
  <c r="Z14" i="22"/>
  <c r="Y14" i="22"/>
  <c r="Y13" i="22"/>
  <c r="T13" i="11"/>
  <c r="Q13" i="11"/>
  <c r="T12" i="11"/>
  <c r="Q12" i="11"/>
  <c r="T11" i="11"/>
  <c r="Q11" i="11"/>
  <c r="Y38" i="22" l="1"/>
  <c r="AM18" i="6"/>
  <c r="AJ18" i="6"/>
  <c r="AM16" i="6"/>
  <c r="AJ16" i="6"/>
  <c r="AM17" i="6"/>
  <c r="P14" i="6"/>
  <c r="P13" i="6" l="1"/>
  <c r="P12" i="6"/>
  <c r="V11" i="6"/>
  <c r="S11" i="6"/>
  <c r="P11" i="6"/>
  <c r="R12" i="9"/>
  <c r="R13" i="9"/>
  <c r="R14" i="9"/>
  <c r="R15" i="9"/>
  <c r="U11" i="9"/>
  <c r="P25" i="22" l="1"/>
  <c r="AF14" i="22"/>
  <c r="AG14" i="22"/>
  <c r="S35" i="22"/>
  <c r="AF19" i="19"/>
  <c r="AK22" i="6" l="1"/>
  <c r="AJ22" i="6"/>
  <c r="S14" i="22" l="1"/>
  <c r="S16" i="22"/>
  <c r="S17" i="22"/>
  <c r="S18" i="22"/>
  <c r="S19" i="22"/>
  <c r="S20" i="22"/>
  <c r="S21" i="22"/>
  <c r="S22" i="22"/>
  <c r="V18" i="22" s="1"/>
  <c r="AG24" i="22" s="1"/>
  <c r="S23" i="22"/>
  <c r="S24" i="22"/>
  <c r="V24" i="22" s="1"/>
  <c r="AG23" i="22" s="1"/>
  <c r="S25" i="22"/>
  <c r="S26" i="22"/>
  <c r="S27" i="22"/>
  <c r="S29" i="22"/>
  <c r="S30" i="22"/>
  <c r="S31" i="22"/>
  <c r="S32" i="22"/>
  <c r="S33" i="22"/>
  <c r="S34" i="22"/>
  <c r="S36" i="22"/>
  <c r="S37" i="22"/>
  <c r="S38" i="22"/>
  <c r="S39" i="22"/>
  <c r="S40" i="22"/>
  <c r="S41" i="22"/>
  <c r="S42" i="22"/>
  <c r="S43" i="22"/>
  <c r="S44" i="22"/>
  <c r="S45" i="22"/>
  <c r="S46" i="22"/>
  <c r="S47" i="22"/>
  <c r="S48" i="22"/>
  <c r="S49" i="22"/>
  <c r="S50" i="22"/>
  <c r="S51" i="22"/>
  <c r="S52" i="22"/>
  <c r="S53" i="22"/>
  <c r="V53" i="22" s="1"/>
  <c r="S54" i="22"/>
  <c r="V54" i="22" s="1"/>
  <c r="S55" i="22"/>
  <c r="S56" i="22"/>
  <c r="S57" i="22"/>
  <c r="S58" i="22"/>
  <c r="S59" i="22"/>
  <c r="S60" i="22"/>
  <c r="S61" i="22"/>
  <c r="S62" i="22"/>
  <c r="S63" i="22"/>
  <c r="S64" i="22"/>
  <c r="S65" i="22"/>
  <c r="S66" i="22"/>
  <c r="S67" i="22"/>
  <c r="S68" i="22"/>
  <c r="V64" i="22" s="1"/>
  <c r="S69" i="22"/>
  <c r="S70" i="22"/>
  <c r="S71" i="22"/>
  <c r="S72" i="22"/>
  <c r="S73" i="22"/>
  <c r="S74" i="22"/>
  <c r="S75" i="22"/>
  <c r="S76" i="22"/>
  <c r="S77" i="22"/>
  <c r="S78" i="22"/>
  <c r="S79" i="22"/>
  <c r="V78" i="22" s="1"/>
  <c r="S80" i="22"/>
  <c r="S81" i="22"/>
  <c r="V80" i="22" s="1"/>
  <c r="S13" i="22"/>
  <c r="V13" i="22" s="1"/>
  <c r="AG15" i="22" s="1"/>
  <c r="T14" i="22"/>
  <c r="T16" i="22"/>
  <c r="T17" i="22"/>
  <c r="T19" i="22"/>
  <c r="T21" i="22"/>
  <c r="T22" i="22"/>
  <c r="T24" i="22"/>
  <c r="T25" i="22"/>
  <c r="T26" i="22"/>
  <c r="T27" i="22"/>
  <c r="T29" i="22"/>
  <c r="T30" i="22"/>
  <c r="T31" i="22"/>
  <c r="T32" i="22"/>
  <c r="T33" i="22"/>
  <c r="T34" i="22"/>
  <c r="T36" i="22"/>
  <c r="T37" i="22"/>
  <c r="T38" i="22"/>
  <c r="T39" i="22"/>
  <c r="T40" i="22"/>
  <c r="T41" i="22"/>
  <c r="T42" i="22"/>
  <c r="T43" i="22"/>
  <c r="T44" i="22"/>
  <c r="T46" i="22"/>
  <c r="T49" i="22"/>
  <c r="T50" i="22"/>
  <c r="T52" i="22"/>
  <c r="T53" i="22"/>
  <c r="T54" i="22"/>
  <c r="T55" i="22"/>
  <c r="T57" i="22"/>
  <c r="T58" i="22"/>
  <c r="T59" i="22"/>
  <c r="T60" i="22"/>
  <c r="T61" i="22"/>
  <c r="T62" i="22"/>
  <c r="T63" i="22"/>
  <c r="T68" i="22"/>
  <c r="T69" i="22"/>
  <c r="T70" i="22"/>
  <c r="T71" i="22"/>
  <c r="T72" i="22"/>
  <c r="T74" i="22"/>
  <c r="T77" i="22"/>
  <c r="T79" i="22"/>
  <c r="T81" i="22"/>
  <c r="T13" i="22"/>
  <c r="AJ62" i="21"/>
  <c r="AJ63" i="21"/>
  <c r="AJ64" i="21"/>
  <c r="AJ65" i="21"/>
  <c r="AJ66" i="21"/>
  <c r="AJ67" i="21"/>
  <c r="AJ68" i="21"/>
  <c r="AJ69" i="21"/>
  <c r="AJ70" i="21"/>
  <c r="AJ71" i="21"/>
  <c r="AJ72" i="21"/>
  <c r="AJ73" i="21"/>
  <c r="AJ74" i="21"/>
  <c r="AJ75" i="21"/>
  <c r="AJ76" i="21"/>
  <c r="AJ77" i="21"/>
  <c r="AJ78" i="21"/>
  <c r="AI62" i="21"/>
  <c r="AI63" i="21"/>
  <c r="AI64" i="21"/>
  <c r="AI65" i="21"/>
  <c r="AI66" i="21"/>
  <c r="AI67" i="21"/>
  <c r="AI68" i="21"/>
  <c r="AI69" i="21"/>
  <c r="AI70" i="21"/>
  <c r="AI71" i="21"/>
  <c r="AI72" i="21"/>
  <c r="AI73" i="21"/>
  <c r="AI74" i="21"/>
  <c r="AI75" i="21"/>
  <c r="AI76" i="21"/>
  <c r="AI77" i="21"/>
  <c r="AI78" i="21"/>
  <c r="AJ61" i="21"/>
  <c r="AI61" i="21"/>
  <c r="AJ60" i="21"/>
  <c r="AI60" i="21"/>
  <c r="AJ59" i="21"/>
  <c r="AI59" i="21"/>
  <c r="AJ57" i="21"/>
  <c r="AJ58" i="21"/>
  <c r="AI57" i="21"/>
  <c r="AI58" i="21"/>
  <c r="AJ56" i="21"/>
  <c r="AI56" i="21"/>
  <c r="AJ53" i="21"/>
  <c r="AJ54" i="21"/>
  <c r="AJ55" i="21"/>
  <c r="AI53" i="21"/>
  <c r="AI54" i="21"/>
  <c r="AI55" i="21"/>
  <c r="AJ52" i="21"/>
  <c r="AI52" i="21"/>
  <c r="AJ51" i="21"/>
  <c r="AI51" i="21"/>
  <c r="AJ50" i="21"/>
  <c r="AI50" i="21"/>
  <c r="AJ45" i="21"/>
  <c r="AJ46" i="21"/>
  <c r="AJ47" i="21"/>
  <c r="AJ48" i="21"/>
  <c r="AJ49" i="21"/>
  <c r="AJ44" i="21"/>
  <c r="AI45" i="21"/>
  <c r="AI46" i="21"/>
  <c r="AI47" i="21"/>
  <c r="AI48" i="21"/>
  <c r="AI49" i="21"/>
  <c r="AI44" i="21"/>
  <c r="AJ22" i="21"/>
  <c r="AI22" i="21"/>
  <c r="AJ41" i="21"/>
  <c r="AJ42" i="21"/>
  <c r="AJ43" i="21"/>
  <c r="AJ40" i="21"/>
  <c r="AI41" i="21"/>
  <c r="AI42" i="21"/>
  <c r="AI43" i="21"/>
  <c r="AI40" i="21"/>
  <c r="AJ34" i="21"/>
  <c r="AJ35" i="21"/>
  <c r="AJ36" i="21"/>
  <c r="AJ37" i="21"/>
  <c r="AJ38" i="21"/>
  <c r="AJ39" i="21"/>
  <c r="AJ33" i="21"/>
  <c r="AI34" i="21"/>
  <c r="AI35" i="21"/>
  <c r="AI36" i="21"/>
  <c r="AI37" i="21"/>
  <c r="AI38" i="21"/>
  <c r="AI39" i="21"/>
  <c r="AI33" i="21"/>
  <c r="AJ26" i="21"/>
  <c r="AJ27" i="21"/>
  <c r="AJ28" i="21"/>
  <c r="AJ29" i="21"/>
  <c r="AJ30" i="21"/>
  <c r="AJ31" i="21"/>
  <c r="AJ32" i="21"/>
  <c r="AJ25" i="21"/>
  <c r="AI26" i="21"/>
  <c r="AI27" i="21"/>
  <c r="AI28" i="21"/>
  <c r="AI29" i="21"/>
  <c r="AI30" i="21"/>
  <c r="AI31" i="21"/>
  <c r="AI32" i="21"/>
  <c r="AI25" i="21"/>
  <c r="AJ24" i="21"/>
  <c r="AJ23" i="21"/>
  <c r="AI24" i="21"/>
  <c r="AI23" i="21"/>
  <c r="AI17" i="21"/>
  <c r="AI18" i="21"/>
  <c r="AI19" i="21"/>
  <c r="AI20" i="21"/>
  <c r="AI21" i="21"/>
  <c r="AI16" i="21"/>
  <c r="AJ17" i="21"/>
  <c r="AJ18" i="21"/>
  <c r="AJ19" i="21"/>
  <c r="AJ20" i="21"/>
  <c r="AJ21" i="21"/>
  <c r="AJ16" i="21"/>
  <c r="AI12" i="21"/>
  <c r="AI13" i="21"/>
  <c r="AI14" i="21"/>
  <c r="AI15" i="21"/>
  <c r="AI11" i="21"/>
  <c r="V69" i="22" l="1"/>
  <c r="V59" i="22"/>
  <c r="AG18" i="22" s="1"/>
  <c r="V55" i="22"/>
  <c r="V25" i="22"/>
  <c r="AG21" i="22" s="1"/>
  <c r="V62" i="22"/>
  <c r="V46" i="22"/>
  <c r="AG19" i="22"/>
  <c r="AG17" i="22"/>
  <c r="V42" i="22"/>
  <c r="AG22" i="22" s="1"/>
  <c r="AG20" i="22"/>
  <c r="V35" i="22"/>
  <c r="AG16" i="22" s="1"/>
  <c r="U12" i="21"/>
  <c r="U13" i="21"/>
  <c r="U14" i="21"/>
  <c r="U15" i="21"/>
  <c r="U19" i="21"/>
  <c r="U20" i="21"/>
  <c r="U21" i="21"/>
  <c r="U22" i="21"/>
  <c r="U23" i="21"/>
  <c r="U24" i="21"/>
  <c r="U25" i="21"/>
  <c r="U26" i="21"/>
  <c r="U27" i="21"/>
  <c r="U28" i="21"/>
  <c r="U29" i="21"/>
  <c r="U30" i="21"/>
  <c r="U31" i="21"/>
  <c r="U32" i="21"/>
  <c r="U33" i="21"/>
  <c r="U34" i="21"/>
  <c r="U35" i="21"/>
  <c r="U36" i="21"/>
  <c r="U37" i="21"/>
  <c r="U38" i="21"/>
  <c r="U39" i="21"/>
  <c r="U40" i="21"/>
  <c r="U41" i="21"/>
  <c r="U42" i="21"/>
  <c r="U43" i="21"/>
  <c r="U44" i="21"/>
  <c r="U45" i="21"/>
  <c r="U46" i="21"/>
  <c r="U47" i="21"/>
  <c r="U48" i="21"/>
  <c r="U49" i="21"/>
  <c r="U50" i="21"/>
  <c r="U51" i="21"/>
  <c r="U52" i="21"/>
  <c r="U53" i="21"/>
  <c r="U54" i="21"/>
  <c r="U55" i="21"/>
  <c r="U56" i="21"/>
  <c r="U57" i="21"/>
  <c r="U58" i="21"/>
  <c r="U59" i="21"/>
  <c r="U60" i="21"/>
  <c r="U61" i="21"/>
  <c r="U62" i="21"/>
  <c r="U63" i="21"/>
  <c r="U64" i="21"/>
  <c r="U65" i="21"/>
  <c r="U66" i="21"/>
  <c r="U67" i="21"/>
  <c r="U68" i="21"/>
  <c r="U69" i="21"/>
  <c r="U70" i="21"/>
  <c r="U71" i="21"/>
  <c r="U72" i="21"/>
  <c r="U73" i="21"/>
  <c r="U74" i="21"/>
  <c r="U75" i="21"/>
  <c r="U76" i="21"/>
  <c r="U77" i="21"/>
  <c r="U78" i="21"/>
  <c r="U11" i="21"/>
  <c r="R12" i="21"/>
  <c r="R13" i="21"/>
  <c r="R14" i="21"/>
  <c r="R15" i="21"/>
  <c r="R19" i="21"/>
  <c r="R20" i="21"/>
  <c r="R21" i="21"/>
  <c r="R22" i="21"/>
  <c r="R23" i="21"/>
  <c r="R24" i="21"/>
  <c r="R25" i="21"/>
  <c r="R26" i="21"/>
  <c r="R27" i="21"/>
  <c r="R28" i="21"/>
  <c r="R29" i="21"/>
  <c r="R30" i="21"/>
  <c r="R31" i="21"/>
  <c r="R32" i="21"/>
  <c r="R33" i="21"/>
  <c r="R34" i="21"/>
  <c r="R35" i="21"/>
  <c r="R36" i="21"/>
  <c r="R37" i="21"/>
  <c r="R38" i="21"/>
  <c r="R39" i="21"/>
  <c r="R40" i="21"/>
  <c r="R41" i="21"/>
  <c r="R42" i="21"/>
  <c r="R43" i="21"/>
  <c r="R44" i="21"/>
  <c r="R45" i="21"/>
  <c r="R46" i="21"/>
  <c r="R47" i="21"/>
  <c r="R48" i="21"/>
  <c r="R49" i="21"/>
  <c r="R50" i="21"/>
  <c r="R51" i="21"/>
  <c r="R52" i="21"/>
  <c r="R53" i="21"/>
  <c r="R54" i="21"/>
  <c r="R55" i="21"/>
  <c r="R56" i="21"/>
  <c r="R57" i="21"/>
  <c r="R58" i="21"/>
  <c r="R59" i="21"/>
  <c r="R60" i="21"/>
  <c r="R61" i="21"/>
  <c r="R62" i="21"/>
  <c r="R63" i="21"/>
  <c r="R64" i="21"/>
  <c r="R65" i="21"/>
  <c r="R66" i="21"/>
  <c r="R67" i="21"/>
  <c r="R68" i="21"/>
  <c r="R69" i="21"/>
  <c r="R70" i="21"/>
  <c r="R71" i="21"/>
  <c r="R72" i="21"/>
  <c r="R73" i="21"/>
  <c r="R74" i="21"/>
  <c r="R75" i="21"/>
  <c r="R76" i="21"/>
  <c r="R77" i="21"/>
  <c r="R78" i="21"/>
  <c r="R11" i="21"/>
  <c r="O12" i="21"/>
  <c r="O13" i="21"/>
  <c r="O14" i="21"/>
  <c r="O15" i="21"/>
  <c r="O16" i="21"/>
  <c r="O17" i="21"/>
  <c r="O18" i="21"/>
  <c r="O19" i="21"/>
  <c r="O20" i="21"/>
  <c r="O21" i="21"/>
  <c r="O22" i="21"/>
  <c r="O23" i="21"/>
  <c r="O24" i="21"/>
  <c r="O25" i="21"/>
  <c r="O26" i="21"/>
  <c r="O27" i="21"/>
  <c r="O28" i="21"/>
  <c r="O29" i="21"/>
  <c r="O30" i="21"/>
  <c r="O31" i="21"/>
  <c r="O32" i="21"/>
  <c r="O33" i="21"/>
  <c r="O34" i="21"/>
  <c r="O35" i="21"/>
  <c r="O36" i="21"/>
  <c r="O37" i="21"/>
  <c r="O38" i="21"/>
  <c r="O39" i="21"/>
  <c r="O40" i="21"/>
  <c r="O41" i="21"/>
  <c r="O42" i="21"/>
  <c r="O43" i="21"/>
  <c r="O44" i="21"/>
  <c r="O45" i="21"/>
  <c r="O46" i="21"/>
  <c r="O47" i="21"/>
  <c r="O48" i="21"/>
  <c r="O49" i="21"/>
  <c r="O50" i="21"/>
  <c r="O51" i="21"/>
  <c r="O52" i="21"/>
  <c r="O53" i="21"/>
  <c r="O54" i="21"/>
  <c r="O55" i="21"/>
  <c r="O56" i="21"/>
  <c r="O57" i="21"/>
  <c r="O58" i="21"/>
  <c r="O59" i="21"/>
  <c r="O60" i="21"/>
  <c r="O61" i="21"/>
  <c r="O62" i="21"/>
  <c r="O63" i="21"/>
  <c r="O64" i="21"/>
  <c r="O65" i="21"/>
  <c r="O66" i="21"/>
  <c r="O67" i="21"/>
  <c r="O68" i="21"/>
  <c r="O69" i="21"/>
  <c r="O70" i="21"/>
  <c r="O71" i="21"/>
  <c r="O72" i="21"/>
  <c r="O73" i="21"/>
  <c r="O74" i="21"/>
  <c r="O75" i="21"/>
  <c r="O76" i="21"/>
  <c r="O77" i="21"/>
  <c r="O78" i="21"/>
  <c r="O11" i="21"/>
  <c r="O25" i="9"/>
  <c r="O26" i="9"/>
  <c r="O27" i="9"/>
  <c r="O28" i="9"/>
  <c r="O24" i="9"/>
  <c r="O23" i="9"/>
  <c r="O22" i="9"/>
  <c r="O21" i="9"/>
  <c r="O20" i="9"/>
  <c r="O19" i="9"/>
  <c r="O18" i="9"/>
  <c r="O17" i="9"/>
  <c r="O16" i="9"/>
  <c r="O15" i="9"/>
  <c r="O14" i="9"/>
  <c r="O13" i="9"/>
  <c r="O12" i="9"/>
  <c r="O11" i="9"/>
  <c r="AG25" i="22" l="1"/>
  <c r="O27" i="11"/>
  <c r="O26" i="11"/>
  <c r="O25" i="11"/>
  <c r="O24" i="11"/>
  <c r="O23" i="11"/>
  <c r="O22" i="11"/>
  <c r="O21" i="11"/>
  <c r="O20" i="11"/>
  <c r="O19" i="11"/>
  <c r="O18" i="11"/>
  <c r="O17" i="11"/>
  <c r="O12" i="11"/>
  <c r="O13" i="11"/>
  <c r="O14" i="11"/>
  <c r="O15" i="11"/>
  <c r="O16" i="11"/>
  <c r="O11" i="11"/>
  <c r="O18" i="18" l="1"/>
  <c r="O17" i="18"/>
  <c r="O15" i="18"/>
  <c r="O14" i="18"/>
  <c r="O13" i="18"/>
  <c r="O12" i="18"/>
  <c r="O11" i="18"/>
  <c r="O16" i="18"/>
  <c r="W14" i="18"/>
  <c r="W12" i="18"/>
  <c r="P20" i="6" l="1"/>
  <c r="AQ17" i="6"/>
  <c r="P69" i="22" l="1"/>
  <c r="N74" i="22"/>
  <c r="AG71" i="21"/>
  <c r="AF71" i="21"/>
  <c r="L71" i="21" s="1"/>
  <c r="P71" i="21" s="1"/>
  <c r="V71" i="21"/>
  <c r="S71" i="21"/>
  <c r="W71" i="21"/>
  <c r="L21" i="9"/>
  <c r="P21" i="9" s="1"/>
  <c r="U21" i="9"/>
  <c r="V21" i="9" s="1"/>
  <c r="R21" i="9"/>
  <c r="S21" i="9" s="1"/>
  <c r="W21" i="9"/>
  <c r="M21" i="9" l="1"/>
  <c r="X71" i="21"/>
  <c r="Y71" i="21" s="1"/>
  <c r="Z71" i="21" s="1"/>
  <c r="M71" i="21"/>
  <c r="X21" i="9"/>
  <c r="Y21" i="9" s="1"/>
  <c r="Z21" i="9" s="1"/>
  <c r="P64" i="22" l="1"/>
  <c r="AF20" i="22" s="1"/>
  <c r="P62" i="22"/>
  <c r="P59" i="22"/>
  <c r="P55" i="22"/>
  <c r="P54" i="22"/>
  <c r="P53" i="22"/>
  <c r="P46" i="22"/>
  <c r="P35" i="22"/>
  <c r="AF16" i="22" s="1"/>
  <c r="N80" i="22"/>
  <c r="N81" i="22"/>
  <c r="N64" i="22"/>
  <c r="N65" i="22"/>
  <c r="N67" i="22"/>
  <c r="N68" i="22"/>
  <c r="N69" i="22"/>
  <c r="N70" i="22"/>
  <c r="N71" i="22"/>
  <c r="N76" i="22"/>
  <c r="N78" i="22"/>
  <c r="N79" i="22"/>
  <c r="N54" i="22"/>
  <c r="N55" i="22"/>
  <c r="N57" i="22"/>
  <c r="N58" i="22"/>
  <c r="N59" i="22"/>
  <c r="N60" i="22"/>
  <c r="N61" i="22"/>
  <c r="N62" i="22"/>
  <c r="N63" i="22"/>
  <c r="N42" i="22"/>
  <c r="N43" i="22"/>
  <c r="N44" i="22"/>
  <c r="N45" i="22"/>
  <c r="N46" i="22"/>
  <c r="N47" i="22"/>
  <c r="N48" i="22"/>
  <c r="N49" i="22"/>
  <c r="N50" i="22"/>
  <c r="N51" i="22"/>
  <c r="N52" i="22"/>
  <c r="N36" i="22"/>
  <c r="N37" i="22"/>
  <c r="N38" i="22"/>
  <c r="N39" i="22"/>
  <c r="N40" i="22"/>
  <c r="N41" i="22"/>
  <c r="N27" i="22"/>
  <c r="N28" i="22"/>
  <c r="N29" i="22"/>
  <c r="N30" i="22"/>
  <c r="N31" i="22"/>
  <c r="N32" i="22"/>
  <c r="N33" i="22"/>
  <c r="N34" i="22"/>
  <c r="N24" i="22"/>
  <c r="N25" i="22"/>
  <c r="N26" i="22"/>
  <c r="N18" i="22"/>
  <c r="N19" i="22"/>
  <c r="N20" i="22"/>
  <c r="N21" i="22"/>
  <c r="N22" i="22"/>
  <c r="N23" i="22"/>
  <c r="N14" i="22"/>
  <c r="N15" i="22"/>
  <c r="N16" i="22"/>
  <c r="N17" i="22"/>
  <c r="N13" i="22"/>
  <c r="P78" i="22"/>
  <c r="P80" i="22"/>
  <c r="V56" i="21"/>
  <c r="V57" i="21"/>
  <c r="V58" i="21"/>
  <c r="V59" i="21"/>
  <c r="V60" i="21"/>
  <c r="S56" i="21"/>
  <c r="S57" i="21"/>
  <c r="S58" i="21"/>
  <c r="S59" i="21"/>
  <c r="AG57" i="21"/>
  <c r="L57" i="21" s="1"/>
  <c r="M57" i="21" s="1"/>
  <c r="AG58" i="21"/>
  <c r="AF57" i="21"/>
  <c r="AF58" i="21"/>
  <c r="AG56" i="21"/>
  <c r="AF56" i="21"/>
  <c r="W57" i="21"/>
  <c r="W74" i="21"/>
  <c r="V74" i="21"/>
  <c r="S74" i="21"/>
  <c r="W73" i="21"/>
  <c r="V73" i="21"/>
  <c r="S73" i="21"/>
  <c r="W72" i="21"/>
  <c r="V72" i="21"/>
  <c r="S72" i="21"/>
  <c r="W70" i="21"/>
  <c r="V70" i="21"/>
  <c r="S70" i="21"/>
  <c r="W69" i="21"/>
  <c r="V69" i="21"/>
  <c r="S69" i="21"/>
  <c r="W68" i="21"/>
  <c r="V68" i="21"/>
  <c r="S68" i="21"/>
  <c r="W67" i="21"/>
  <c r="V67" i="21"/>
  <c r="S67" i="21"/>
  <c r="W66" i="21"/>
  <c r="V66" i="21"/>
  <c r="S66" i="21"/>
  <c r="AF67" i="21"/>
  <c r="L67" i="21" s="1"/>
  <c r="P67" i="21" s="1"/>
  <c r="AG67" i="21"/>
  <c r="AF68" i="21"/>
  <c r="L68" i="21" s="1"/>
  <c r="P68" i="21" s="1"/>
  <c r="AG68" i="21"/>
  <c r="AF69" i="21"/>
  <c r="L69" i="21" s="1"/>
  <c r="P69" i="21" s="1"/>
  <c r="AG69" i="21"/>
  <c r="AF70" i="21"/>
  <c r="L70" i="21" s="1"/>
  <c r="AG70" i="21"/>
  <c r="AF72" i="21"/>
  <c r="L72" i="21" s="1"/>
  <c r="P72" i="21" s="1"/>
  <c r="AG72" i="21"/>
  <c r="AF73" i="21"/>
  <c r="L73" i="21" s="1"/>
  <c r="P73" i="21" s="1"/>
  <c r="AG73" i="21"/>
  <c r="AF74" i="21"/>
  <c r="L74" i="21" s="1"/>
  <c r="AG74" i="21"/>
  <c r="AF19" i="22" l="1"/>
  <c r="AF17" i="22"/>
  <c r="AF18" i="22"/>
  <c r="P57" i="21"/>
  <c r="X57" i="21"/>
  <c r="Y57" i="21" s="1"/>
  <c r="Z57" i="21" s="1"/>
  <c r="P70" i="21"/>
  <c r="P74" i="21"/>
  <c r="M67" i="21"/>
  <c r="X67" i="21"/>
  <c r="Y67" i="21" s="1"/>
  <c r="Z67" i="21" s="1"/>
  <c r="M68" i="21"/>
  <c r="X68" i="21"/>
  <c r="Y68" i="21" s="1"/>
  <c r="Z68" i="21" s="1"/>
  <c r="M69" i="21"/>
  <c r="X69" i="21"/>
  <c r="Y69" i="21" s="1"/>
  <c r="Z69" i="21" s="1"/>
  <c r="M70" i="21"/>
  <c r="M72" i="21"/>
  <c r="X72" i="21"/>
  <c r="Y72" i="21" s="1"/>
  <c r="Z72" i="21" s="1"/>
  <c r="M73" i="21"/>
  <c r="X73" i="21"/>
  <c r="Y73" i="21" s="1"/>
  <c r="Z73" i="21" s="1"/>
  <c r="M74" i="21"/>
  <c r="X74" i="21" l="1"/>
  <c r="Y74" i="21" s="1"/>
  <c r="Z74" i="21" s="1"/>
  <c r="X70" i="21"/>
  <c r="Y70" i="21" s="1"/>
  <c r="Z70" i="21" s="1"/>
  <c r="U18" i="9"/>
  <c r="V18" i="9" s="1"/>
  <c r="R18" i="9"/>
  <c r="S18" i="9" s="1"/>
  <c r="L18" i="9"/>
  <c r="W18" i="9"/>
  <c r="U23" i="9"/>
  <c r="V23" i="9" s="1"/>
  <c r="R23" i="9"/>
  <c r="S23" i="9" s="1"/>
  <c r="L23" i="9"/>
  <c r="M23" i="9" s="1"/>
  <c r="W23" i="9"/>
  <c r="W24" i="9"/>
  <c r="M18" i="9" l="1"/>
  <c r="P18" i="9"/>
  <c r="P23" i="9"/>
  <c r="X23" i="9"/>
  <c r="Y23" i="9" s="1"/>
  <c r="Z23" i="9" s="1"/>
  <c r="P42" i="22"/>
  <c r="AF22" i="22" s="1"/>
  <c r="AF21" i="22"/>
  <c r="P24" i="22"/>
  <c r="AF23" i="22" s="1"/>
  <c r="P18" i="22"/>
  <c r="AF24" i="22" s="1"/>
  <c r="P13" i="22"/>
  <c r="AF15" i="22" s="1"/>
  <c r="AG76" i="21"/>
  <c r="AG77" i="21"/>
  <c r="AG78" i="21"/>
  <c r="AF76" i="21"/>
  <c r="AF77" i="21"/>
  <c r="AF78" i="21"/>
  <c r="AG75" i="21"/>
  <c r="AF75" i="21"/>
  <c r="AG66" i="21"/>
  <c r="AF66" i="21"/>
  <c r="L66" i="21" s="1"/>
  <c r="AG62" i="21"/>
  <c r="AG63" i="21"/>
  <c r="AG64" i="21"/>
  <c r="AG65" i="21"/>
  <c r="AF62" i="21"/>
  <c r="AF63" i="21"/>
  <c r="AF64" i="21"/>
  <c r="AF65" i="21"/>
  <c r="AG61" i="21"/>
  <c r="AF61" i="21"/>
  <c r="AF60" i="21"/>
  <c r="AF59" i="21"/>
  <c r="AG55" i="21"/>
  <c r="AG52" i="21"/>
  <c r="AF53" i="21"/>
  <c r="AF54" i="21"/>
  <c r="AF55" i="21"/>
  <c r="AF52" i="21"/>
  <c r="AF51" i="21"/>
  <c r="AG50" i="21"/>
  <c r="AF50" i="21"/>
  <c r="AF45" i="21"/>
  <c r="AF46" i="21"/>
  <c r="AF47" i="21"/>
  <c r="AF48" i="21"/>
  <c r="AF49" i="21"/>
  <c r="AF44" i="21"/>
  <c r="W28" i="21"/>
  <c r="W26" i="21"/>
  <c r="V41" i="21"/>
  <c r="V42" i="21"/>
  <c r="W42" i="21"/>
  <c r="W41" i="21"/>
  <c r="S41" i="21"/>
  <c r="S42" i="21"/>
  <c r="AG43" i="21"/>
  <c r="AG41" i="21"/>
  <c r="AG42" i="21"/>
  <c r="AF41" i="21"/>
  <c r="AF42" i="21"/>
  <c r="AF43" i="21"/>
  <c r="AG40" i="21"/>
  <c r="AF40" i="21"/>
  <c r="AF34" i="21"/>
  <c r="AF35" i="21"/>
  <c r="AF36" i="21"/>
  <c r="AF37" i="21"/>
  <c r="AF38" i="21"/>
  <c r="AF39" i="21"/>
  <c r="AG33" i="21"/>
  <c r="AF33" i="21"/>
  <c r="AG26" i="21"/>
  <c r="AG27" i="21"/>
  <c r="AG28" i="21"/>
  <c r="AG29" i="21"/>
  <c r="AG30" i="21"/>
  <c r="AG31" i="21"/>
  <c r="AG32" i="21"/>
  <c r="AF26" i="21"/>
  <c r="AF27" i="21"/>
  <c r="AF28" i="21"/>
  <c r="AF29" i="21"/>
  <c r="AF30" i="21"/>
  <c r="AF31" i="21"/>
  <c r="AF32" i="21"/>
  <c r="AG25" i="21"/>
  <c r="AF25" i="21"/>
  <c r="AG24" i="21"/>
  <c r="AF24" i="21"/>
  <c r="AG23" i="21"/>
  <c r="AF23" i="21"/>
  <c r="AG22" i="21"/>
  <c r="AF22" i="21"/>
  <c r="AG17" i="21"/>
  <c r="AG18" i="21"/>
  <c r="AG20" i="21"/>
  <c r="AG21" i="21"/>
  <c r="AF17" i="21"/>
  <c r="AF18" i="21"/>
  <c r="AF19" i="21"/>
  <c r="AF20" i="21"/>
  <c r="AF21" i="21"/>
  <c r="AG16" i="21"/>
  <c r="AF16" i="21"/>
  <c r="AG12" i="21"/>
  <c r="AG13" i="21"/>
  <c r="AG15" i="21"/>
  <c r="AF12" i="21"/>
  <c r="AF13" i="21"/>
  <c r="AF14" i="21"/>
  <c r="AF15" i="21"/>
  <c r="AG11" i="21"/>
  <c r="AF11" i="21"/>
  <c r="AF25" i="22" l="1"/>
  <c r="P66" i="21"/>
  <c r="M66" i="21"/>
  <c r="X18" i="9"/>
  <c r="Y18" i="9" s="1"/>
  <c r="Z18" i="9" s="1"/>
  <c r="L41" i="21"/>
  <c r="M41" i="21" s="1"/>
  <c r="L42" i="21"/>
  <c r="AG17" i="19"/>
  <c r="AG39" i="21" s="1"/>
  <c r="AG16" i="19"/>
  <c r="AG38" i="21" s="1"/>
  <c r="AG15" i="19"/>
  <c r="AG37" i="21" s="1"/>
  <c r="AG14" i="19"/>
  <c r="AG36" i="21" s="1"/>
  <c r="AG13" i="19"/>
  <c r="AG35" i="21" s="1"/>
  <c r="AG12" i="19"/>
  <c r="AG34" i="21" s="1"/>
  <c r="L11" i="19"/>
  <c r="AP20" i="13"/>
  <c r="AM20" i="13"/>
  <c r="AF20" i="13"/>
  <c r="AP19" i="13"/>
  <c r="AG17" i="13"/>
  <c r="AF16" i="13"/>
  <c r="AG16" i="13"/>
  <c r="AJ16" i="13" s="1"/>
  <c r="X66" i="21" l="1"/>
  <c r="Y66" i="21" s="1"/>
  <c r="Z66" i="21" s="1"/>
  <c r="P41" i="21"/>
  <c r="X41" i="21"/>
  <c r="Y41" i="21" s="1"/>
  <c r="Z41" i="21" s="1"/>
  <c r="M42" i="21"/>
  <c r="P42" i="21"/>
  <c r="AJ20" i="13"/>
  <c r="AQ20" i="13" s="1"/>
  <c r="AJ18" i="13"/>
  <c r="AJ19" i="13"/>
  <c r="AJ17" i="13"/>
  <c r="AM16" i="13"/>
  <c r="AG18" i="13"/>
  <c r="X42" i="21" l="1"/>
  <c r="Y42" i="21" s="1"/>
  <c r="Z42" i="21" s="1"/>
  <c r="AM17" i="13"/>
  <c r="AP16" i="13"/>
  <c r="AM18" i="13"/>
  <c r="W13" i="13"/>
  <c r="U13" i="13"/>
  <c r="V13" i="13" s="1"/>
  <c r="R13" i="13"/>
  <c r="S13" i="13" s="1"/>
  <c r="L13" i="13"/>
  <c r="O13" i="13" s="1"/>
  <c r="P13" i="13" s="1"/>
  <c r="W12" i="13"/>
  <c r="U12" i="13"/>
  <c r="V12" i="13" s="1"/>
  <c r="R12" i="13"/>
  <c r="S12" i="13" s="1"/>
  <c r="L12" i="13"/>
  <c r="O12" i="13" s="1"/>
  <c r="P12" i="13" s="1"/>
  <c r="AP18" i="13" l="1"/>
  <c r="AQ18" i="13" s="1"/>
  <c r="AP17" i="13"/>
  <c r="AQ16" i="13"/>
  <c r="M12" i="13"/>
  <c r="X12" i="13"/>
  <c r="Y12" i="13" s="1"/>
  <c r="Z12" i="13" s="1"/>
  <c r="M13" i="13"/>
  <c r="X13" i="13"/>
  <c r="Y13" i="13" s="1"/>
  <c r="Z13" i="13" s="1"/>
  <c r="W24" i="11"/>
  <c r="U24" i="11"/>
  <c r="V24" i="11" s="1"/>
  <c r="R24" i="11"/>
  <c r="S24" i="11" s="1"/>
  <c r="W23" i="11"/>
  <c r="U23" i="11"/>
  <c r="V23" i="11" s="1"/>
  <c r="R23" i="11"/>
  <c r="P23" i="11"/>
  <c r="L23" i="11"/>
  <c r="M23" i="11" s="1"/>
  <c r="AQ19" i="13" l="1"/>
  <c r="X23" i="11"/>
  <c r="Y23" i="11" s="1"/>
  <c r="Z23" i="11" s="1"/>
  <c r="S23" i="11"/>
  <c r="D79" i="21" l="1"/>
  <c r="W78" i="21"/>
  <c r="V78" i="21"/>
  <c r="S78" i="21"/>
  <c r="L78" i="21"/>
  <c r="P78" i="21" s="1"/>
  <c r="W77" i="21"/>
  <c r="V77" i="21"/>
  <c r="S77" i="21"/>
  <c r="L77" i="21"/>
  <c r="P77" i="21" s="1"/>
  <c r="W76" i="21"/>
  <c r="V76" i="21"/>
  <c r="S76" i="21"/>
  <c r="L76" i="21"/>
  <c r="P76" i="21" s="1"/>
  <c r="W75" i="21"/>
  <c r="V75" i="21"/>
  <c r="S75" i="21"/>
  <c r="P75" i="21"/>
  <c r="L75" i="21"/>
  <c r="M75" i="21" s="1"/>
  <c r="W65" i="21"/>
  <c r="V65" i="21"/>
  <c r="S65" i="21"/>
  <c r="L65" i="21"/>
  <c r="P65" i="21" s="1"/>
  <c r="W64" i="21"/>
  <c r="V64" i="21"/>
  <c r="S64" i="21"/>
  <c r="L64" i="21"/>
  <c r="P64" i="21" s="1"/>
  <c r="W63" i="21"/>
  <c r="V63" i="21"/>
  <c r="S63" i="21"/>
  <c r="L63" i="21"/>
  <c r="P63" i="21" s="1"/>
  <c r="W62" i="21"/>
  <c r="V62" i="21"/>
  <c r="S62" i="21"/>
  <c r="L62" i="21"/>
  <c r="W61" i="21"/>
  <c r="V61" i="21"/>
  <c r="S61" i="21"/>
  <c r="L61" i="21"/>
  <c r="M61" i="21" s="1"/>
  <c r="W60" i="21"/>
  <c r="S60" i="21"/>
  <c r="L60" i="21"/>
  <c r="W59" i="21"/>
  <c r="L59" i="21"/>
  <c r="W58" i="21"/>
  <c r="L58" i="21"/>
  <c r="P58" i="21" s="1"/>
  <c r="W56" i="21"/>
  <c r="L56" i="21"/>
  <c r="W55" i="21"/>
  <c r="V55" i="21"/>
  <c r="S55" i="21"/>
  <c r="L55" i="21"/>
  <c r="P55" i="21" s="1"/>
  <c r="W54" i="21"/>
  <c r="V54" i="21"/>
  <c r="S54" i="21"/>
  <c r="L54" i="21"/>
  <c r="P54" i="21" s="1"/>
  <c r="W53" i="21"/>
  <c r="V53" i="21"/>
  <c r="S53" i="21"/>
  <c r="L53" i="21"/>
  <c r="W52" i="21"/>
  <c r="V52" i="21"/>
  <c r="S52" i="21"/>
  <c r="L52" i="21"/>
  <c r="W51" i="21"/>
  <c r="V51" i="21"/>
  <c r="S51" i="21"/>
  <c r="L51" i="21"/>
  <c r="M51" i="21" s="1"/>
  <c r="W50" i="21"/>
  <c r="V50" i="21"/>
  <c r="S50" i="21"/>
  <c r="L50" i="21"/>
  <c r="M50" i="21" s="1"/>
  <c r="W49" i="21"/>
  <c r="V49" i="21"/>
  <c r="S49" i="21"/>
  <c r="L49" i="21"/>
  <c r="W48" i="21"/>
  <c r="V48" i="21"/>
  <c r="S48" i="21"/>
  <c r="L48" i="21"/>
  <c r="W47" i="21"/>
  <c r="V47" i="21"/>
  <c r="S47" i="21"/>
  <c r="L47" i="21"/>
  <c r="P47" i="21" s="1"/>
  <c r="W46" i="21"/>
  <c r="V46" i="21"/>
  <c r="S46" i="21"/>
  <c r="L46" i="21"/>
  <c r="P46" i="21" s="1"/>
  <c r="W45" i="21"/>
  <c r="V45" i="21"/>
  <c r="S45" i="21"/>
  <c r="L45" i="21"/>
  <c r="W44" i="21"/>
  <c r="V44" i="21"/>
  <c r="S44" i="21"/>
  <c r="L44" i="21"/>
  <c r="P44" i="21" s="1"/>
  <c r="W43" i="21"/>
  <c r="V43" i="21"/>
  <c r="S43" i="21"/>
  <c r="L43" i="21"/>
  <c r="P43" i="21" s="1"/>
  <c r="W40" i="21"/>
  <c r="V40" i="21"/>
  <c r="S40" i="21"/>
  <c r="L40" i="21"/>
  <c r="M40" i="21" s="1"/>
  <c r="W39" i="21"/>
  <c r="V39" i="21"/>
  <c r="S39" i="21"/>
  <c r="L39" i="21"/>
  <c r="M39" i="21" s="1"/>
  <c r="W38" i="21"/>
  <c r="V38" i="21"/>
  <c r="S38" i="21"/>
  <c r="L38" i="21"/>
  <c r="W37" i="21"/>
  <c r="V37" i="21"/>
  <c r="S37" i="21"/>
  <c r="L37" i="21"/>
  <c r="P37" i="21" s="1"/>
  <c r="W36" i="21"/>
  <c r="V36" i="21"/>
  <c r="S36" i="21"/>
  <c r="L36" i="21"/>
  <c r="P36" i="21" s="1"/>
  <c r="W35" i="21"/>
  <c r="V35" i="21"/>
  <c r="S35" i="21"/>
  <c r="L35" i="21"/>
  <c r="P35" i="21" s="1"/>
  <c r="W34" i="21"/>
  <c r="V34" i="21"/>
  <c r="S34" i="21"/>
  <c r="L34" i="21"/>
  <c r="P34" i="21" s="1"/>
  <c r="V33" i="21"/>
  <c r="S33" i="21"/>
  <c r="L33" i="21"/>
  <c r="P33" i="21" s="1"/>
  <c r="W33" i="21"/>
  <c r="W32" i="21"/>
  <c r="V32" i="21"/>
  <c r="S32" i="21"/>
  <c r="L32" i="21"/>
  <c r="P32" i="21" s="1"/>
  <c r="W31" i="21"/>
  <c r="V31" i="21"/>
  <c r="S31" i="21"/>
  <c r="L31" i="21"/>
  <c r="P31" i="21" s="1"/>
  <c r="W30" i="21"/>
  <c r="V30" i="21"/>
  <c r="S30" i="21"/>
  <c r="L30" i="21"/>
  <c r="W29" i="21"/>
  <c r="V29" i="21"/>
  <c r="S29" i="21"/>
  <c r="L29" i="21"/>
  <c r="V28" i="21"/>
  <c r="S28" i="21"/>
  <c r="L28" i="21"/>
  <c r="P28" i="21" s="1"/>
  <c r="W27" i="21"/>
  <c r="V27" i="21"/>
  <c r="S27" i="21"/>
  <c r="L27" i="21"/>
  <c r="P27" i="21" s="1"/>
  <c r="V26" i="21"/>
  <c r="S26" i="21"/>
  <c r="L26" i="21"/>
  <c r="P26" i="21" s="1"/>
  <c r="W25" i="21"/>
  <c r="V25" i="21"/>
  <c r="S25" i="21"/>
  <c r="L25" i="21"/>
  <c r="V24" i="21"/>
  <c r="S24" i="21"/>
  <c r="L24" i="21"/>
  <c r="P24" i="21" s="1"/>
  <c r="V23" i="21"/>
  <c r="S23" i="21"/>
  <c r="L23" i="21"/>
  <c r="P23" i="21" s="1"/>
  <c r="V22" i="21"/>
  <c r="S22" i="21"/>
  <c r="L22" i="21"/>
  <c r="P22" i="21" s="1"/>
  <c r="W21" i="21"/>
  <c r="V21" i="21"/>
  <c r="S21" i="21"/>
  <c r="L21" i="21"/>
  <c r="P21" i="21" s="1"/>
  <c r="T20" i="21"/>
  <c r="Q20" i="21"/>
  <c r="N20" i="21"/>
  <c r="L20" i="21"/>
  <c r="W19" i="21"/>
  <c r="V19" i="21"/>
  <c r="S19" i="21"/>
  <c r="R18" i="21"/>
  <c r="W18" i="21"/>
  <c r="L18" i="21"/>
  <c r="R17" i="21"/>
  <c r="W17" i="21"/>
  <c r="L17" i="21"/>
  <c r="R16" i="21"/>
  <c r="W16" i="21"/>
  <c r="L16" i="21"/>
  <c r="W15" i="21"/>
  <c r="V15" i="21"/>
  <c r="S15" i="21"/>
  <c r="L15" i="21"/>
  <c r="T14" i="21"/>
  <c r="V14" i="21" s="1"/>
  <c r="Q14" i="21"/>
  <c r="N14" i="21"/>
  <c r="L14" i="21"/>
  <c r="M14" i="21" s="1"/>
  <c r="W13" i="21"/>
  <c r="Y13" i="21" s="1"/>
  <c r="Z13" i="21" s="1"/>
  <c r="V13" i="21"/>
  <c r="S13" i="21"/>
  <c r="L13" i="21"/>
  <c r="P13" i="21" s="1"/>
  <c r="T12" i="21"/>
  <c r="Q12" i="21"/>
  <c r="N12" i="21"/>
  <c r="L12" i="21"/>
  <c r="P12" i="21" s="1"/>
  <c r="AJ11" i="21"/>
  <c r="N11" i="21" s="1"/>
  <c r="T11" i="21"/>
  <c r="Q11" i="21"/>
  <c r="L11" i="21"/>
  <c r="G6" i="21"/>
  <c r="X5" i="21"/>
  <c r="L16" i="9"/>
  <c r="L17" i="9"/>
  <c r="L19" i="9"/>
  <c r="L20" i="9"/>
  <c r="L22" i="9"/>
  <c r="L24" i="9"/>
  <c r="L25" i="9"/>
  <c r="L26" i="9"/>
  <c r="L27" i="9"/>
  <c r="L28" i="9"/>
  <c r="L13" i="9"/>
  <c r="L14" i="9"/>
  <c r="W14" i="13"/>
  <c r="U14" i="13"/>
  <c r="V14" i="13" s="1"/>
  <c r="R14" i="13"/>
  <c r="S14" i="13" s="1"/>
  <c r="L14" i="13"/>
  <c r="O14" i="13" s="1"/>
  <c r="P14" i="13" s="1"/>
  <c r="U12" i="18"/>
  <c r="R12" i="18"/>
  <c r="AU20" i="6"/>
  <c r="X21" i="6"/>
  <c r="X19" i="6"/>
  <c r="X18" i="6"/>
  <c r="X17" i="6"/>
  <c r="X16" i="6"/>
  <c r="X15" i="6"/>
  <c r="X13" i="6"/>
  <c r="L11" i="18"/>
  <c r="L22" i="11"/>
  <c r="L24" i="11"/>
  <c r="L25" i="11"/>
  <c r="L26" i="11"/>
  <c r="L27" i="11"/>
  <c r="L11" i="11"/>
  <c r="M11" i="11" s="1"/>
  <c r="AG11" i="11"/>
  <c r="AG44" i="21" s="1"/>
  <c r="M20" i="6"/>
  <c r="M15" i="6"/>
  <c r="N15" i="6" s="1"/>
  <c r="M16" i="6"/>
  <c r="N16" i="6" s="1"/>
  <c r="M17" i="6"/>
  <c r="N17" i="6" s="1"/>
  <c r="M18" i="6"/>
  <c r="N18" i="6" s="1"/>
  <c r="M21" i="6"/>
  <c r="N21" i="6" s="1"/>
  <c r="M22" i="6"/>
  <c r="N22" i="6" s="1"/>
  <c r="M23" i="6"/>
  <c r="N23" i="6" s="1"/>
  <c r="M24" i="6"/>
  <c r="N24" i="6" s="1"/>
  <c r="M12" i="6"/>
  <c r="M13" i="6"/>
  <c r="M14" i="6"/>
  <c r="N14" i="6" s="1"/>
  <c r="M56" i="21" l="1"/>
  <c r="P56" i="21"/>
  <c r="M59" i="21"/>
  <c r="P59" i="21"/>
  <c r="M60" i="21"/>
  <c r="P60" i="21"/>
  <c r="S20" i="21"/>
  <c r="S12" i="21"/>
  <c r="P16" i="21"/>
  <c r="P17" i="21"/>
  <c r="X61" i="21"/>
  <c r="Y61" i="21" s="1"/>
  <c r="Z61" i="21" s="1"/>
  <c r="P51" i="21"/>
  <c r="P50" i="21"/>
  <c r="P40" i="21"/>
  <c r="P24" i="11"/>
  <c r="W14" i="21"/>
  <c r="M20" i="21"/>
  <c r="M33" i="21"/>
  <c r="V20" i="21"/>
  <c r="M46" i="21"/>
  <c r="P49" i="21"/>
  <c r="M62" i="21"/>
  <c r="S14" i="21"/>
  <c r="M31" i="21"/>
  <c r="P45" i="21"/>
  <c r="X56" i="21"/>
  <c r="Y56" i="21" s="1"/>
  <c r="Z56" i="21" s="1"/>
  <c r="P62" i="21"/>
  <c r="X75" i="21"/>
  <c r="Y75" i="21" s="1"/>
  <c r="Z75" i="21" s="1"/>
  <c r="M76" i="21"/>
  <c r="X76" i="21"/>
  <c r="Y76" i="21" s="1"/>
  <c r="Z76" i="21" s="1"/>
  <c r="M77" i="21"/>
  <c r="X77" i="21"/>
  <c r="Y77" i="21" s="1"/>
  <c r="Z77" i="21" s="1"/>
  <c r="M78" i="21"/>
  <c r="X78" i="21"/>
  <c r="Y78" i="21" s="1"/>
  <c r="Z78" i="21" s="1"/>
  <c r="M63" i="21"/>
  <c r="X63" i="21"/>
  <c r="Y63" i="21" s="1"/>
  <c r="Z63" i="21" s="1"/>
  <c r="M64" i="21"/>
  <c r="X64" i="21"/>
  <c r="Y64" i="21" s="1"/>
  <c r="Z64" i="21" s="1"/>
  <c r="M65" i="21"/>
  <c r="X65" i="21"/>
  <c r="Y65" i="21" s="1"/>
  <c r="Z65" i="21" s="1"/>
  <c r="M58" i="21"/>
  <c r="P48" i="21"/>
  <c r="M48" i="21"/>
  <c r="M44" i="21"/>
  <c r="X46" i="21"/>
  <c r="Y46" i="21" s="1"/>
  <c r="Z46" i="21" s="1"/>
  <c r="M47" i="21"/>
  <c r="P52" i="21"/>
  <c r="M52" i="21"/>
  <c r="P53" i="21"/>
  <c r="M53" i="21"/>
  <c r="X59" i="21"/>
  <c r="Y59" i="21" s="1"/>
  <c r="Z59" i="21" s="1"/>
  <c r="X60" i="21"/>
  <c r="Y60" i="21" s="1"/>
  <c r="Z60" i="21" s="1"/>
  <c r="X44" i="21"/>
  <c r="Y44" i="21" s="1"/>
  <c r="Z44" i="21" s="1"/>
  <c r="X47" i="21"/>
  <c r="Y47" i="21" s="1"/>
  <c r="Z47" i="21" s="1"/>
  <c r="X55" i="21"/>
  <c r="Y55" i="21" s="1"/>
  <c r="Z55" i="21" s="1"/>
  <c r="M54" i="21"/>
  <c r="X54" i="21"/>
  <c r="Y54" i="21" s="1"/>
  <c r="Z54" i="21" s="1"/>
  <c r="M45" i="21"/>
  <c r="M49" i="21"/>
  <c r="M55" i="21"/>
  <c r="M43" i="21"/>
  <c r="X43" i="21"/>
  <c r="Y43" i="21" s="1"/>
  <c r="Z43" i="21" s="1"/>
  <c r="X33" i="21"/>
  <c r="Y33" i="21" s="1"/>
  <c r="Z33" i="21" s="1"/>
  <c r="M34" i="21"/>
  <c r="X34" i="21"/>
  <c r="Y34" i="21" s="1"/>
  <c r="Z34" i="21" s="1"/>
  <c r="M35" i="21"/>
  <c r="X35" i="21"/>
  <c r="Y35" i="21" s="1"/>
  <c r="Z35" i="21" s="1"/>
  <c r="M36" i="21"/>
  <c r="X36" i="21"/>
  <c r="Y36" i="21" s="1"/>
  <c r="Z36" i="21" s="1"/>
  <c r="M37" i="21"/>
  <c r="X37" i="21"/>
  <c r="Y37" i="21" s="1"/>
  <c r="Z37" i="21" s="1"/>
  <c r="M38" i="21"/>
  <c r="P38" i="21"/>
  <c r="P39" i="21"/>
  <c r="X31" i="21"/>
  <c r="Y31" i="21" s="1"/>
  <c r="Z31" i="21" s="1"/>
  <c r="M32" i="21"/>
  <c r="X32" i="21"/>
  <c r="Y32" i="21" s="1"/>
  <c r="Z32" i="21" s="1"/>
  <c r="M27" i="21"/>
  <c r="X28" i="21"/>
  <c r="Y28" i="21" s="1"/>
  <c r="Z28" i="21" s="1"/>
  <c r="M30" i="21"/>
  <c r="P25" i="21"/>
  <c r="M26" i="21"/>
  <c r="P29" i="21"/>
  <c r="P30" i="21"/>
  <c r="M25" i="21"/>
  <c r="X27" i="21"/>
  <c r="Y27" i="21" s="1"/>
  <c r="Z27" i="21" s="1"/>
  <c r="M28" i="21"/>
  <c r="M29" i="21"/>
  <c r="X26" i="21"/>
  <c r="Y26" i="21" s="1"/>
  <c r="Z26" i="21" s="1"/>
  <c r="M11" i="21"/>
  <c r="W12" i="21"/>
  <c r="V12" i="21"/>
  <c r="P20" i="21"/>
  <c r="M12" i="21"/>
  <c r="P14" i="21"/>
  <c r="P15" i="21"/>
  <c r="P18" i="21"/>
  <c r="W20" i="21"/>
  <c r="W11" i="21"/>
  <c r="AP18" i="21"/>
  <c r="S18" i="21"/>
  <c r="AP16" i="21"/>
  <c r="S16" i="21"/>
  <c r="S17" i="21"/>
  <c r="AP17" i="21"/>
  <c r="X22" i="21"/>
  <c r="Y22" i="21" s="1"/>
  <c r="Z22" i="21" s="1"/>
  <c r="AS22" i="21" s="1"/>
  <c r="X23" i="21"/>
  <c r="Y23" i="21" s="1"/>
  <c r="Z23" i="21" s="1"/>
  <c r="X24" i="21"/>
  <c r="Y24" i="21" s="1"/>
  <c r="Z24" i="21" s="1"/>
  <c r="X12" i="21"/>
  <c r="X14" i="21"/>
  <c r="M18" i="21"/>
  <c r="M21" i="21"/>
  <c r="X21" i="21"/>
  <c r="Y21" i="21" s="1"/>
  <c r="Z21" i="21" s="1"/>
  <c r="M22" i="21"/>
  <c r="M23" i="21"/>
  <c r="M24" i="21"/>
  <c r="M15" i="21"/>
  <c r="M16" i="21"/>
  <c r="M17" i="21"/>
  <c r="M14" i="13"/>
  <c r="X14" i="13"/>
  <c r="Y14" i="13" s="1"/>
  <c r="Z14" i="13" s="1"/>
  <c r="W28" i="9"/>
  <c r="U28" i="9"/>
  <c r="V28" i="9" s="1"/>
  <c r="R28" i="9"/>
  <c r="P28" i="9"/>
  <c r="M28" i="9"/>
  <c r="W27" i="9"/>
  <c r="U27" i="9"/>
  <c r="V27" i="9" s="1"/>
  <c r="R27" i="9"/>
  <c r="P27" i="9"/>
  <c r="M27" i="9"/>
  <c r="W26" i="9"/>
  <c r="U26" i="9"/>
  <c r="V26" i="9" s="1"/>
  <c r="R26" i="9"/>
  <c r="S26" i="9" s="1"/>
  <c r="P26" i="9"/>
  <c r="W25" i="9"/>
  <c r="U25" i="9"/>
  <c r="V25" i="9" s="1"/>
  <c r="R25" i="9"/>
  <c r="P25" i="9"/>
  <c r="M25" i="9"/>
  <c r="U24" i="9"/>
  <c r="V24" i="9" s="1"/>
  <c r="R24" i="9"/>
  <c r="P24" i="9"/>
  <c r="M24" i="9"/>
  <c r="W22" i="9"/>
  <c r="U22" i="9"/>
  <c r="V22" i="9" s="1"/>
  <c r="R22" i="9"/>
  <c r="P22" i="9"/>
  <c r="M22" i="9"/>
  <c r="W20" i="9"/>
  <c r="U20" i="9"/>
  <c r="V20" i="9" s="1"/>
  <c r="R20" i="9"/>
  <c r="S20" i="9" s="1"/>
  <c r="M20" i="9"/>
  <c r="W19" i="9"/>
  <c r="U19" i="9"/>
  <c r="V19" i="9" s="1"/>
  <c r="R19" i="9"/>
  <c r="S19" i="9" s="1"/>
  <c r="P19" i="9"/>
  <c r="M19" i="9"/>
  <c r="W17" i="9"/>
  <c r="U17" i="9"/>
  <c r="V17" i="9" s="1"/>
  <c r="R17" i="9"/>
  <c r="P17" i="9"/>
  <c r="M17" i="9"/>
  <c r="W16" i="9"/>
  <c r="V16" i="9"/>
  <c r="U16" i="9"/>
  <c r="R16" i="9"/>
  <c r="P16" i="9"/>
  <c r="M16" i="9"/>
  <c r="W15" i="9"/>
  <c r="U15" i="9"/>
  <c r="V15" i="9" s="1"/>
  <c r="S15" i="9"/>
  <c r="L15" i="9"/>
  <c r="P15" i="9" s="1"/>
  <c r="W14" i="9"/>
  <c r="U14" i="9"/>
  <c r="V14" i="9" s="1"/>
  <c r="S14" i="9"/>
  <c r="M14" i="9"/>
  <c r="W13" i="9"/>
  <c r="U13" i="9"/>
  <c r="V13" i="9" s="1"/>
  <c r="S13" i="9"/>
  <c r="P13" i="9"/>
  <c r="M13" i="9"/>
  <c r="W12" i="9"/>
  <c r="U12" i="9"/>
  <c r="V12" i="9" s="1"/>
  <c r="S12" i="9"/>
  <c r="L12" i="9"/>
  <c r="P12" i="9" s="1"/>
  <c r="W11" i="9"/>
  <c r="V11" i="9"/>
  <c r="R11" i="9"/>
  <c r="S11" i="9" s="1"/>
  <c r="L11" i="9"/>
  <c r="P11" i="9" s="1"/>
  <c r="Y14" i="21" l="1"/>
  <c r="Z14" i="21" s="1"/>
  <c r="U17" i="21"/>
  <c r="V17" i="21" s="1"/>
  <c r="U18" i="21"/>
  <c r="X18" i="21" s="1"/>
  <c r="Y18" i="21" s="1"/>
  <c r="Z18" i="21" s="1"/>
  <c r="U16" i="21"/>
  <c r="V16" i="21" s="1"/>
  <c r="X24" i="11"/>
  <c r="X51" i="21"/>
  <c r="Y51" i="21" s="1"/>
  <c r="Z51" i="21" s="1"/>
  <c r="P61" i="21"/>
  <c r="X50" i="21"/>
  <c r="Y50" i="21" s="1"/>
  <c r="Z50" i="21" s="1"/>
  <c r="X58" i="21"/>
  <c r="Y58" i="21" s="1"/>
  <c r="Z58" i="21" s="1"/>
  <c r="X52" i="21"/>
  <c r="Y52" i="21" s="1"/>
  <c r="Z52" i="21" s="1"/>
  <c r="X40" i="21"/>
  <c r="Y40" i="21" s="1"/>
  <c r="Z40" i="21" s="1"/>
  <c r="AS40" i="21" s="1"/>
  <c r="Y12" i="21"/>
  <c r="Z12" i="21" s="1"/>
  <c r="X62" i="21"/>
  <c r="Y62" i="21" s="1"/>
  <c r="Z62" i="21" s="1"/>
  <c r="X49" i="21"/>
  <c r="Y49" i="21" s="1"/>
  <c r="Z49" i="21" s="1"/>
  <c r="X39" i="21"/>
  <c r="Y39" i="21" s="1"/>
  <c r="Z39" i="21" s="1"/>
  <c r="X45" i="21"/>
  <c r="Y45" i="21" s="1"/>
  <c r="Z45" i="21" s="1"/>
  <c r="X48" i="21"/>
  <c r="Y48" i="21" s="1"/>
  <c r="Z48" i="21" s="1"/>
  <c r="X53" i="21"/>
  <c r="Y53" i="21" s="1"/>
  <c r="Z53" i="21" s="1"/>
  <c r="X38" i="21"/>
  <c r="Y38" i="21" s="1"/>
  <c r="Z38" i="21" s="1"/>
  <c r="X30" i="21"/>
  <c r="Y30" i="21" s="1"/>
  <c r="Z30" i="21" s="1"/>
  <c r="X29" i="21"/>
  <c r="Y29" i="21" s="1"/>
  <c r="Z29" i="21" s="1"/>
  <c r="X25" i="21"/>
  <c r="Y25" i="21" s="1"/>
  <c r="Z25" i="21" s="1"/>
  <c r="X20" i="21"/>
  <c r="Y20" i="21" s="1"/>
  <c r="Z20" i="21" s="1"/>
  <c r="P11" i="21"/>
  <c r="X15" i="21"/>
  <c r="Y15" i="21" s="1"/>
  <c r="Z15" i="21" s="1"/>
  <c r="AS23" i="21"/>
  <c r="X17" i="9"/>
  <c r="Y17" i="9" s="1"/>
  <c r="Z17" i="9" s="1"/>
  <c r="X24" i="9"/>
  <c r="Y24" i="9" s="1"/>
  <c r="Z24" i="9" s="1"/>
  <c r="X13" i="9"/>
  <c r="Y13" i="9" s="1"/>
  <c r="Z13" i="9" s="1"/>
  <c r="X19" i="9"/>
  <c r="Y19" i="9" s="1"/>
  <c r="Z19" i="9" s="1"/>
  <c r="X25" i="9"/>
  <c r="Y25" i="9" s="1"/>
  <c r="Z25" i="9" s="1"/>
  <c r="X28" i="9"/>
  <c r="Y28" i="9" s="1"/>
  <c r="Z28" i="9" s="1"/>
  <c r="X14" i="9"/>
  <c r="Y14" i="9" s="1"/>
  <c r="Z14" i="9" s="1"/>
  <c r="X16" i="9"/>
  <c r="Y16" i="9" s="1"/>
  <c r="Z16" i="9" s="1"/>
  <c r="X22" i="9"/>
  <c r="Y22" i="9" s="1"/>
  <c r="Z22" i="9" s="1"/>
  <c r="X20" i="9"/>
  <c r="Y20" i="9" s="1"/>
  <c r="Z20" i="9" s="1"/>
  <c r="X27" i="9"/>
  <c r="Y27" i="9" s="1"/>
  <c r="Z27" i="9" s="1"/>
  <c r="X15" i="9"/>
  <c r="Y15" i="9" s="1"/>
  <c r="Z15" i="9" s="1"/>
  <c r="X26" i="9"/>
  <c r="Y26" i="9" s="1"/>
  <c r="Z26" i="9" s="1"/>
  <c r="P14" i="9"/>
  <c r="S17" i="9"/>
  <c r="P20" i="9"/>
  <c r="S24" i="9"/>
  <c r="S28" i="9"/>
  <c r="X12" i="9"/>
  <c r="Y12" i="9" s="1"/>
  <c r="Z12" i="9" s="1"/>
  <c r="M11" i="9"/>
  <c r="X11" i="9"/>
  <c r="Y11" i="9" s="1"/>
  <c r="Z11" i="9" s="1"/>
  <c r="M12" i="9"/>
  <c r="S16" i="9"/>
  <c r="S22" i="9"/>
  <c r="S27" i="9"/>
  <c r="M15" i="9"/>
  <c r="S25" i="9"/>
  <c r="M26" i="9"/>
  <c r="X17" i="21" l="1"/>
  <c r="Y17" i="21" s="1"/>
  <c r="Z17" i="21" s="1"/>
  <c r="V18" i="21"/>
  <c r="X16" i="21"/>
  <c r="Y16" i="21" s="1"/>
  <c r="Z16" i="21" s="1"/>
  <c r="AS33" i="21"/>
  <c r="AS25" i="21"/>
  <c r="S11" i="21"/>
  <c r="L14" i="18"/>
  <c r="L13" i="18"/>
  <c r="L12" i="18"/>
  <c r="X12" i="18" s="1"/>
  <c r="Y12" i="18" s="1"/>
  <c r="Z12" i="18" s="1"/>
  <c r="M12" i="18" l="1"/>
  <c r="V11" i="21"/>
  <c r="X11" i="21"/>
  <c r="Y11" i="21" s="1"/>
  <c r="Z11" i="21" s="1"/>
  <c r="V24" i="6"/>
  <c r="W24" i="6" s="1"/>
  <c r="V23" i="6"/>
  <c r="W23" i="6" s="1"/>
  <c r="V21" i="6"/>
  <c r="V20" i="6"/>
  <c r="V19" i="6"/>
  <c r="W19" i="6" s="1"/>
  <c r="S24" i="6"/>
  <c r="T24" i="6" s="1"/>
  <c r="S23" i="6"/>
  <c r="T23" i="6" s="1"/>
  <c r="S21" i="6"/>
  <c r="S20" i="6"/>
  <c r="S19" i="6"/>
  <c r="T19" i="6" s="1"/>
  <c r="V14" i="6"/>
  <c r="V13" i="6"/>
  <c r="W13" i="6" s="1"/>
  <c r="S14" i="6"/>
  <c r="S13" i="6"/>
  <c r="T13" i="6" s="1"/>
  <c r="AS11" i="21" l="1"/>
  <c r="Z7" i="21"/>
  <c r="K44" i="9"/>
  <c r="K47" i="9" s="1"/>
  <c r="AG27" i="11" l="1"/>
  <c r="AG60" i="21" s="1"/>
  <c r="AG26" i="11"/>
  <c r="AG59" i="21" s="1"/>
  <c r="M24" i="11"/>
  <c r="AG21" i="11"/>
  <c r="AG54" i="21" s="1"/>
  <c r="AG20" i="11"/>
  <c r="AG53" i="21" s="1"/>
  <c r="AG18" i="11"/>
  <c r="AG51" i="21" s="1"/>
  <c r="AG16" i="11"/>
  <c r="AG49" i="21" s="1"/>
  <c r="AG15" i="11"/>
  <c r="AG48" i="21" s="1"/>
  <c r="AG14" i="11"/>
  <c r="AG47" i="21" s="1"/>
  <c r="AG13" i="11"/>
  <c r="AG46" i="21" s="1"/>
  <c r="AG12" i="11"/>
  <c r="AG45" i="21" s="1"/>
  <c r="Z13" i="6" l="1"/>
  <c r="AA13" i="6" s="1"/>
  <c r="P23" i="6" l="1"/>
  <c r="Q23" i="6" s="1"/>
  <c r="P24" i="6"/>
  <c r="Q24" i="6" s="1"/>
  <c r="W21" i="6"/>
  <c r="T21" i="6"/>
  <c r="U20" i="6"/>
  <c r="W20" i="6" s="1"/>
  <c r="R20" i="6"/>
  <c r="T20" i="6" s="1"/>
  <c r="O20" i="6"/>
  <c r="AH19" i="6"/>
  <c r="M19" i="6" l="1"/>
  <c r="N19" i="6" s="1"/>
  <c r="AG19" i="21"/>
  <c r="L19" i="21" s="1"/>
  <c r="Y24" i="6"/>
  <c r="Z24" i="6" s="1"/>
  <c r="AA24" i="6" s="1"/>
  <c r="Y23" i="6"/>
  <c r="Z23" i="6" s="1"/>
  <c r="AA23" i="6" s="1"/>
  <c r="S18" i="6"/>
  <c r="T18" i="6" s="1"/>
  <c r="AQ18" i="6"/>
  <c r="V18" i="6" s="1"/>
  <c r="W18" i="6" s="1"/>
  <c r="S17" i="6"/>
  <c r="T17" i="6" s="1"/>
  <c r="V17" i="6"/>
  <c r="W17" i="6" s="1"/>
  <c r="P18" i="6"/>
  <c r="Q18" i="6" s="1"/>
  <c r="AQ16" i="6"/>
  <c r="V16" i="6" s="1"/>
  <c r="W16" i="6" s="1"/>
  <c r="S16" i="6"/>
  <c r="T16" i="6" s="1"/>
  <c r="P17" i="6"/>
  <c r="Q17" i="6" s="1"/>
  <c r="P19" i="6"/>
  <c r="Q19" i="6" s="1"/>
  <c r="P16" i="6"/>
  <c r="Q16" i="6" s="1"/>
  <c r="U12" i="6"/>
  <c r="R12" i="6"/>
  <c r="O12" i="6"/>
  <c r="L12" i="6"/>
  <c r="N12" i="6" s="1"/>
  <c r="P15" i="6"/>
  <c r="Q15" i="6" s="1"/>
  <c r="U14" i="6"/>
  <c r="W14" i="6" s="1"/>
  <c r="R14" i="6"/>
  <c r="T14" i="6" s="1"/>
  <c r="O14" i="6"/>
  <c r="L20" i="6"/>
  <c r="Y14" i="6"/>
  <c r="AH14" i="6"/>
  <c r="AG14" i="21" s="1"/>
  <c r="U11" i="6"/>
  <c r="R11" i="6"/>
  <c r="L11" i="6"/>
  <c r="AK11" i="6"/>
  <c r="E25" i="6"/>
  <c r="P19" i="21" l="1"/>
  <c r="X19" i="21"/>
  <c r="Y19" i="21" s="1"/>
  <c r="Z19" i="21" s="1"/>
  <c r="AS16" i="21" s="1"/>
  <c r="M19" i="21"/>
  <c r="X14" i="6"/>
  <c r="Z14" i="6" s="1"/>
  <c r="AA14" i="6" s="1"/>
  <c r="AT23" i="6"/>
  <c r="X20" i="6"/>
  <c r="N20" i="6"/>
  <c r="Y17" i="6"/>
  <c r="O11" i="6"/>
  <c r="X11" i="6" s="1"/>
  <c r="Q20" i="6"/>
  <c r="Y16" i="6"/>
  <c r="Q14" i="6"/>
  <c r="P21" i="6"/>
  <c r="Q21" i="6" s="1"/>
  <c r="Y19" i="6"/>
  <c r="Y18" i="6"/>
  <c r="Z19" i="6" l="1"/>
  <c r="AA19" i="6" s="1"/>
  <c r="Z16" i="6"/>
  <c r="AA16" i="6" s="1"/>
  <c r="Z18" i="6"/>
  <c r="AA18" i="6" s="1"/>
  <c r="Z17" i="6"/>
  <c r="AA17" i="6" s="1"/>
  <c r="Y21" i="6"/>
  <c r="Y20" i="6"/>
  <c r="H29" i="9"/>
  <c r="D29" i="9"/>
  <c r="X5" i="9"/>
  <c r="Z20" i="6" l="1"/>
  <c r="AA20" i="6" s="1"/>
  <c r="Z21" i="6"/>
  <c r="AA21" i="6" s="1"/>
  <c r="Z7" i="9"/>
  <c r="H28" i="11"/>
  <c r="D28" i="11"/>
  <c r="W27" i="11"/>
  <c r="U27" i="11"/>
  <c r="V27" i="11" s="1"/>
  <c r="R27" i="11"/>
  <c r="S27" i="11" s="1"/>
  <c r="P27" i="11"/>
  <c r="W26" i="11"/>
  <c r="U26" i="11"/>
  <c r="V26" i="11" s="1"/>
  <c r="R26" i="11"/>
  <c r="S26" i="11" s="1"/>
  <c r="W25" i="11"/>
  <c r="U25" i="11"/>
  <c r="V25" i="11" s="1"/>
  <c r="R25" i="11"/>
  <c r="S25" i="11" s="1"/>
  <c r="P25" i="11"/>
  <c r="Y24" i="11"/>
  <c r="Z24" i="11" s="1"/>
  <c r="W22" i="11"/>
  <c r="U22" i="11"/>
  <c r="V22" i="11" s="1"/>
  <c r="R22" i="11"/>
  <c r="S22" i="11" s="1"/>
  <c r="W21" i="11"/>
  <c r="U21" i="11"/>
  <c r="V21" i="11" s="1"/>
  <c r="R21" i="11"/>
  <c r="S21" i="11" s="1"/>
  <c r="L21" i="11"/>
  <c r="M21" i="11" s="1"/>
  <c r="W20" i="11"/>
  <c r="U20" i="11"/>
  <c r="V20" i="11" s="1"/>
  <c r="R20" i="11"/>
  <c r="S20" i="11" s="1"/>
  <c r="L20" i="11"/>
  <c r="W19" i="11"/>
  <c r="U19" i="11"/>
  <c r="V19" i="11" s="1"/>
  <c r="R19" i="11"/>
  <c r="S19" i="11" s="1"/>
  <c r="L19" i="11"/>
  <c r="W18" i="11"/>
  <c r="U18" i="11"/>
  <c r="V18" i="11" s="1"/>
  <c r="R18" i="11"/>
  <c r="S18" i="11" s="1"/>
  <c r="L18" i="11"/>
  <c r="W17" i="11"/>
  <c r="U17" i="11"/>
  <c r="V17" i="11" s="1"/>
  <c r="R17" i="11"/>
  <c r="S17" i="11" s="1"/>
  <c r="L17" i="11"/>
  <c r="M17" i="11" s="1"/>
  <c r="W16" i="11"/>
  <c r="U16" i="11"/>
  <c r="V16" i="11" s="1"/>
  <c r="R16" i="11"/>
  <c r="S16" i="11" s="1"/>
  <c r="L16" i="11"/>
  <c r="M16" i="11" s="1"/>
  <c r="W15" i="11"/>
  <c r="U15" i="11"/>
  <c r="V15" i="11" s="1"/>
  <c r="R15" i="11"/>
  <c r="S15" i="11" s="1"/>
  <c r="L15" i="11"/>
  <c r="W14" i="11"/>
  <c r="U14" i="11"/>
  <c r="V14" i="11" s="1"/>
  <c r="R14" i="11"/>
  <c r="S14" i="11" s="1"/>
  <c r="L14" i="11"/>
  <c r="W13" i="11"/>
  <c r="U13" i="11"/>
  <c r="V13" i="11" s="1"/>
  <c r="R13" i="11"/>
  <c r="S13" i="11" s="1"/>
  <c r="L13" i="11"/>
  <c r="M13" i="11" s="1"/>
  <c r="W12" i="11"/>
  <c r="U12" i="11"/>
  <c r="V12" i="11" s="1"/>
  <c r="R12" i="11"/>
  <c r="S12" i="11" s="1"/>
  <c r="L12" i="11"/>
  <c r="W11" i="11"/>
  <c r="U11" i="11"/>
  <c r="V11" i="11" s="1"/>
  <c r="R11" i="11"/>
  <c r="S11" i="11" s="1"/>
  <c r="X5" i="11"/>
  <c r="X15" i="11" l="1"/>
  <c r="Y15" i="11" s="1"/>
  <c r="Z15" i="11" s="1"/>
  <c r="X19" i="11"/>
  <c r="Y19" i="11" s="1"/>
  <c r="Z19" i="11" s="1"/>
  <c r="AT16" i="6"/>
  <c r="X12" i="11"/>
  <c r="Y12" i="11" s="1"/>
  <c r="Z12" i="11" s="1"/>
  <c r="X20" i="11"/>
  <c r="Y20" i="11" s="1"/>
  <c r="Z20" i="11" s="1"/>
  <c r="X11" i="11"/>
  <c r="Y11" i="11" s="1"/>
  <c r="Z11" i="11" s="1"/>
  <c r="X14" i="11"/>
  <c r="Y14" i="11" s="1"/>
  <c r="Z14" i="11" s="1"/>
  <c r="X18" i="11"/>
  <c r="Y18" i="11" s="1"/>
  <c r="Z18" i="11" s="1"/>
  <c r="X22" i="11"/>
  <c r="Y22" i="11" s="1"/>
  <c r="Z22" i="11" s="1"/>
  <c r="M27" i="11"/>
  <c r="X27" i="11"/>
  <c r="Y27" i="11" s="1"/>
  <c r="Z27" i="11" s="1"/>
  <c r="M26" i="11"/>
  <c r="P26" i="11"/>
  <c r="M25" i="11"/>
  <c r="X21" i="11"/>
  <c r="Y21" i="11" s="1"/>
  <c r="Z21" i="11" s="1"/>
  <c r="M20" i="11"/>
  <c r="M22" i="11"/>
  <c r="X25" i="11"/>
  <c r="Y25" i="11" s="1"/>
  <c r="Z25" i="11" s="1"/>
  <c r="M19" i="11"/>
  <c r="M18" i="11"/>
  <c r="X17" i="11"/>
  <c r="Y17" i="11" s="1"/>
  <c r="Z17" i="11" s="1"/>
  <c r="X16" i="11"/>
  <c r="Y16" i="11" s="1"/>
  <c r="Z16" i="11" s="1"/>
  <c r="M15" i="11"/>
  <c r="M14" i="11"/>
  <c r="X13" i="11"/>
  <c r="Y13" i="11" s="1"/>
  <c r="Z13" i="11" s="1"/>
  <c r="M12" i="11"/>
  <c r="P11" i="11"/>
  <c r="P12" i="11"/>
  <c r="P14" i="11"/>
  <c r="P15" i="11"/>
  <c r="P18" i="11"/>
  <c r="P19" i="11"/>
  <c r="P20" i="11"/>
  <c r="P22" i="11"/>
  <c r="X83" i="20"/>
  <c r="V83" i="20"/>
  <c r="W83" i="20" s="1"/>
  <c r="S83" i="20"/>
  <c r="T83" i="20" s="1"/>
  <c r="M83" i="20"/>
  <c r="P83" i="20" s="1"/>
  <c r="Q83" i="20" s="1"/>
  <c r="X79" i="20"/>
  <c r="V79" i="20"/>
  <c r="W79" i="20" s="1"/>
  <c r="S79" i="20"/>
  <c r="T79" i="20" s="1"/>
  <c r="M79" i="20"/>
  <c r="P79" i="20" s="1"/>
  <c r="Q79" i="20" s="1"/>
  <c r="V36" i="20"/>
  <c r="W36" i="20" s="1"/>
  <c r="S36" i="20"/>
  <c r="T36" i="20" s="1"/>
  <c r="Q36" i="20"/>
  <c r="N36" i="20"/>
  <c r="X32" i="20"/>
  <c r="V32" i="20"/>
  <c r="W32" i="20" s="1"/>
  <c r="S32" i="20"/>
  <c r="T32" i="20" s="1"/>
  <c r="M32" i="20"/>
  <c r="P32" i="20" s="1"/>
  <c r="Q32" i="20" s="1"/>
  <c r="X26" i="20"/>
  <c r="V26" i="20"/>
  <c r="W26" i="20" s="1"/>
  <c r="S26" i="20"/>
  <c r="T26" i="20" s="1"/>
  <c r="M26" i="20"/>
  <c r="P26" i="20" s="1"/>
  <c r="Q26" i="20" s="1"/>
  <c r="X25" i="20"/>
  <c r="V25" i="20"/>
  <c r="W25" i="20" s="1"/>
  <c r="S25" i="20"/>
  <c r="T25" i="20" s="1"/>
  <c r="M25" i="20"/>
  <c r="P25" i="20" s="1"/>
  <c r="Q25" i="20" s="1"/>
  <c r="X24" i="20"/>
  <c r="V24" i="20"/>
  <c r="W24" i="20" s="1"/>
  <c r="S24" i="20"/>
  <c r="T24" i="20" s="1"/>
  <c r="M24" i="20"/>
  <c r="P24" i="20" s="1"/>
  <c r="Q24" i="20" s="1"/>
  <c r="X23" i="20"/>
  <c r="V23" i="20"/>
  <c r="W23" i="20" s="1"/>
  <c r="S23" i="20"/>
  <c r="T23" i="20" s="1"/>
  <c r="M23" i="20"/>
  <c r="P23" i="20" s="1"/>
  <c r="Q23" i="20" s="1"/>
  <c r="X21" i="20"/>
  <c r="V21" i="20"/>
  <c r="W21" i="20" s="1"/>
  <c r="S21" i="20"/>
  <c r="T21" i="20" s="1"/>
  <c r="M21" i="20"/>
  <c r="P21" i="20" s="1"/>
  <c r="Q21" i="20" s="1"/>
  <c r="X14" i="20"/>
  <c r="V14" i="20"/>
  <c r="W14" i="20" s="1"/>
  <c r="S14" i="20"/>
  <c r="T14" i="20" s="1"/>
  <c r="M14" i="20"/>
  <c r="P14" i="20" s="1"/>
  <c r="X13" i="20"/>
  <c r="V13" i="20"/>
  <c r="W13" i="20" s="1"/>
  <c r="S13" i="20"/>
  <c r="T13" i="20" s="1"/>
  <c r="M13" i="20"/>
  <c r="P13" i="20" s="1"/>
  <c r="Q14" i="20" s="1"/>
  <c r="X12" i="20"/>
  <c r="V12" i="20"/>
  <c r="W12" i="20" s="1"/>
  <c r="S12" i="20"/>
  <c r="T12" i="20" s="1"/>
  <c r="M12" i="20"/>
  <c r="P12" i="20" s="1"/>
  <c r="X11" i="20"/>
  <c r="V11" i="20"/>
  <c r="W11" i="20" s="1"/>
  <c r="S11" i="20"/>
  <c r="T11" i="20" s="1"/>
  <c r="M11" i="20"/>
  <c r="P11" i="20" s="1"/>
  <c r="Q11" i="20" s="1"/>
  <c r="U14" i="18"/>
  <c r="V14" i="18" s="1"/>
  <c r="R14" i="18"/>
  <c r="S14" i="18" s="1"/>
  <c r="P14" i="18"/>
  <c r="N32" i="20" l="1"/>
  <c r="N26" i="20"/>
  <c r="P16" i="11"/>
  <c r="X26" i="11"/>
  <c r="Y26" i="11" s="1"/>
  <c r="Z26" i="11" s="1"/>
  <c r="P21" i="11"/>
  <c r="P17" i="11"/>
  <c r="Z7" i="11"/>
  <c r="P13" i="11"/>
  <c r="N83" i="20"/>
  <c r="Y83" i="20"/>
  <c r="Z83" i="20" s="1"/>
  <c r="AA83" i="20" s="1"/>
  <c r="N79" i="20"/>
  <c r="Y79" i="20"/>
  <c r="Z79" i="20" s="1"/>
  <c r="AA79" i="20" s="1"/>
  <c r="Y26" i="20"/>
  <c r="Z26" i="20" s="1"/>
  <c r="AA26" i="20" s="1"/>
  <c r="Y32" i="20"/>
  <c r="Z32" i="20" s="1"/>
  <c r="AA32" i="20" s="1"/>
  <c r="Q13" i="20"/>
  <c r="Q12" i="20"/>
  <c r="N11" i="20"/>
  <c r="Y11" i="20"/>
  <c r="Z11" i="20" s="1"/>
  <c r="AA11" i="20" s="1"/>
  <c r="N12" i="20"/>
  <c r="Y12" i="20"/>
  <c r="Z12" i="20" s="1"/>
  <c r="AA12" i="20" s="1"/>
  <c r="N13" i="20"/>
  <c r="Y13" i="20"/>
  <c r="Z13" i="20" s="1"/>
  <c r="AA13" i="20" s="1"/>
  <c r="N14" i="20"/>
  <c r="Y14" i="20"/>
  <c r="Z14" i="20" s="1"/>
  <c r="AA14" i="20" s="1"/>
  <c r="N21" i="20"/>
  <c r="Y21" i="20"/>
  <c r="Z21" i="20" s="1"/>
  <c r="AA21" i="20" s="1"/>
  <c r="N23" i="20"/>
  <c r="Y23" i="20"/>
  <c r="Z23" i="20" s="1"/>
  <c r="AA23" i="20" s="1"/>
  <c r="N24" i="20"/>
  <c r="Y24" i="20"/>
  <c r="Z24" i="20" s="1"/>
  <c r="AA24" i="20" s="1"/>
  <c r="N25" i="20"/>
  <c r="Y25" i="20"/>
  <c r="Z25" i="20" s="1"/>
  <c r="AA25" i="20" s="1"/>
  <c r="Y36" i="20"/>
  <c r="Z36" i="20" s="1"/>
  <c r="AA36" i="20" s="1"/>
  <c r="M14" i="18"/>
  <c r="X14" i="18"/>
  <c r="Y14" i="18" s="1"/>
  <c r="Z14" i="18" s="1"/>
  <c r="X91" i="20"/>
  <c r="V91" i="20"/>
  <c r="W91" i="20" s="1"/>
  <c r="S91" i="20"/>
  <c r="T91" i="20" s="1"/>
  <c r="M91" i="20"/>
  <c r="P91" i="20" s="1"/>
  <c r="Q91" i="20" s="1"/>
  <c r="X90" i="20"/>
  <c r="V90" i="20"/>
  <c r="W90" i="20" s="1"/>
  <c r="S90" i="20"/>
  <c r="T90" i="20" s="1"/>
  <c r="M90" i="20"/>
  <c r="N90" i="20" s="1"/>
  <c r="X89" i="20"/>
  <c r="V89" i="20"/>
  <c r="W89" i="20" s="1"/>
  <c r="S89" i="20"/>
  <c r="T89" i="20" s="1"/>
  <c r="M89" i="20"/>
  <c r="P89" i="20" s="1"/>
  <c r="Q89" i="20" s="1"/>
  <c r="X88" i="20"/>
  <c r="V88" i="20"/>
  <c r="W88" i="20" s="1"/>
  <c r="S88" i="20"/>
  <c r="T88" i="20" s="1"/>
  <c r="M88" i="20"/>
  <c r="X87" i="20"/>
  <c r="V87" i="20"/>
  <c r="W87" i="20" s="1"/>
  <c r="S87" i="20"/>
  <c r="T87" i="20" s="1"/>
  <c r="M87" i="20"/>
  <c r="P87" i="20" s="1"/>
  <c r="Q87" i="20" s="1"/>
  <c r="X86" i="20"/>
  <c r="V86" i="20"/>
  <c r="W86" i="20" s="1"/>
  <c r="S86" i="20"/>
  <c r="T86" i="20" s="1"/>
  <c r="M86" i="20"/>
  <c r="X85" i="20"/>
  <c r="V85" i="20"/>
  <c r="W85" i="20" s="1"/>
  <c r="S85" i="20"/>
  <c r="T85" i="20" s="1"/>
  <c r="M85" i="20"/>
  <c r="P85" i="20" s="1"/>
  <c r="Q85" i="20" s="1"/>
  <c r="X82" i="20"/>
  <c r="V82" i="20"/>
  <c r="W82" i="20" s="1"/>
  <c r="S82" i="20"/>
  <c r="T82" i="20" s="1"/>
  <c r="M82" i="20"/>
  <c r="N82" i="20" s="1"/>
  <c r="X81" i="20"/>
  <c r="V81" i="20"/>
  <c r="W81" i="20" s="1"/>
  <c r="S81" i="20"/>
  <c r="T81" i="20" s="1"/>
  <c r="M81" i="20"/>
  <c r="X78" i="20"/>
  <c r="V78" i="20"/>
  <c r="W78" i="20" s="1"/>
  <c r="S78" i="20"/>
  <c r="T78" i="20" s="1"/>
  <c r="M78" i="20"/>
  <c r="P78" i="20" s="1"/>
  <c r="Q78" i="20" s="1"/>
  <c r="X77" i="20"/>
  <c r="V77" i="20"/>
  <c r="W77" i="20" s="1"/>
  <c r="S77" i="20"/>
  <c r="T77" i="20" s="1"/>
  <c r="M77" i="20"/>
  <c r="P77" i="20" s="1"/>
  <c r="Q77" i="20" s="1"/>
  <c r="X76" i="20"/>
  <c r="V76" i="20"/>
  <c r="W76" i="20" s="1"/>
  <c r="S76" i="20"/>
  <c r="T76" i="20" s="1"/>
  <c r="M76" i="20"/>
  <c r="P76" i="20" s="1"/>
  <c r="Q76" i="20" s="1"/>
  <c r="X75" i="20"/>
  <c r="V75" i="20"/>
  <c r="W75" i="20" s="1"/>
  <c r="S75" i="20"/>
  <c r="T75" i="20" s="1"/>
  <c r="M75" i="20"/>
  <c r="P75" i="20" s="1"/>
  <c r="Q75" i="20" s="1"/>
  <c r="X74" i="20"/>
  <c r="V74" i="20"/>
  <c r="W74" i="20" s="1"/>
  <c r="S74" i="20"/>
  <c r="T74" i="20" s="1"/>
  <c r="M74" i="20"/>
  <c r="P74" i="20" s="1"/>
  <c r="X73" i="20"/>
  <c r="V73" i="20"/>
  <c r="W73" i="20" s="1"/>
  <c r="S73" i="20"/>
  <c r="T73" i="20" s="1"/>
  <c r="M73" i="20"/>
  <c r="P73" i="20" s="1"/>
  <c r="X72" i="20"/>
  <c r="V72" i="20"/>
  <c r="W72" i="20" s="1"/>
  <c r="S72" i="20"/>
  <c r="T72" i="20" s="1"/>
  <c r="M72" i="20"/>
  <c r="P72" i="20" s="1"/>
  <c r="X70" i="20"/>
  <c r="V70" i="20"/>
  <c r="W70" i="20" s="1"/>
  <c r="S70" i="20"/>
  <c r="T70" i="20" s="1"/>
  <c r="M70" i="20"/>
  <c r="P70" i="20" s="1"/>
  <c r="H70" i="20"/>
  <c r="X69" i="20"/>
  <c r="V69" i="20"/>
  <c r="W69" i="20" s="1"/>
  <c r="S69" i="20"/>
  <c r="T69" i="20" s="1"/>
  <c r="M69" i="20"/>
  <c r="X68" i="20"/>
  <c r="V68" i="20"/>
  <c r="W68" i="20" s="1"/>
  <c r="S68" i="20"/>
  <c r="T68" i="20" s="1"/>
  <c r="M68" i="20"/>
  <c r="X67" i="20"/>
  <c r="V67" i="20"/>
  <c r="W67" i="20" s="1"/>
  <c r="S67" i="20"/>
  <c r="T67" i="20" s="1"/>
  <c r="M67" i="20"/>
  <c r="X66" i="20"/>
  <c r="V66" i="20"/>
  <c r="W66" i="20" s="1"/>
  <c r="S66" i="20"/>
  <c r="T66" i="20" s="1"/>
  <c r="M66" i="20"/>
  <c r="X65" i="20"/>
  <c r="V65" i="20"/>
  <c r="W65" i="20" s="1"/>
  <c r="S65" i="20"/>
  <c r="T65" i="20" s="1"/>
  <c r="M65" i="20"/>
  <c r="P65" i="20" s="1"/>
  <c r="Q65" i="20" s="1"/>
  <c r="X64" i="20"/>
  <c r="V64" i="20"/>
  <c r="W64" i="20" s="1"/>
  <c r="S64" i="20"/>
  <c r="T64" i="20" s="1"/>
  <c r="M64" i="20"/>
  <c r="P64" i="20" s="1"/>
  <c r="Q64" i="20" s="1"/>
  <c r="X63" i="20"/>
  <c r="V63" i="20"/>
  <c r="W63" i="20" s="1"/>
  <c r="S63" i="20"/>
  <c r="T63" i="20" s="1"/>
  <c r="M63" i="20"/>
  <c r="P63" i="20" s="1"/>
  <c r="Q63" i="20" s="1"/>
  <c r="X62" i="20"/>
  <c r="V62" i="20"/>
  <c r="W62" i="20" s="1"/>
  <c r="S62" i="20"/>
  <c r="T62" i="20" s="1"/>
  <c r="M62" i="20"/>
  <c r="P62" i="20" s="1"/>
  <c r="Q62" i="20" s="1"/>
  <c r="X61" i="20"/>
  <c r="V61" i="20"/>
  <c r="W61" i="20" s="1"/>
  <c r="S61" i="20"/>
  <c r="T61" i="20" s="1"/>
  <c r="M61" i="20"/>
  <c r="P61" i="20" s="1"/>
  <c r="Q61" i="20" s="1"/>
  <c r="X60" i="20"/>
  <c r="V60" i="20"/>
  <c r="W60" i="20" s="1"/>
  <c r="S60" i="20"/>
  <c r="T60" i="20" s="1"/>
  <c r="M60" i="20"/>
  <c r="P60" i="20" s="1"/>
  <c r="Q60" i="20" s="1"/>
  <c r="X59" i="20"/>
  <c r="V59" i="20"/>
  <c r="W59" i="20" s="1"/>
  <c r="S59" i="20"/>
  <c r="T59" i="20" s="1"/>
  <c r="M59" i="20"/>
  <c r="P59" i="20" s="1"/>
  <c r="Q59" i="20" s="1"/>
  <c r="X58" i="20"/>
  <c r="V58" i="20"/>
  <c r="W58" i="20" s="1"/>
  <c r="S58" i="20"/>
  <c r="T58" i="20" s="1"/>
  <c r="M58" i="20"/>
  <c r="P58" i="20" s="1"/>
  <c r="Q58" i="20" s="1"/>
  <c r="X57" i="20"/>
  <c r="V57" i="20"/>
  <c r="W57" i="20" s="1"/>
  <c r="S57" i="20"/>
  <c r="T57" i="20" s="1"/>
  <c r="M57" i="20"/>
  <c r="P57" i="20" s="1"/>
  <c r="Q57" i="20" s="1"/>
  <c r="X56" i="20"/>
  <c r="V56" i="20"/>
  <c r="W56" i="20" s="1"/>
  <c r="S56" i="20"/>
  <c r="T56" i="20" s="1"/>
  <c r="M56" i="20"/>
  <c r="P56" i="20" s="1"/>
  <c r="Q56" i="20" s="1"/>
  <c r="X55" i="20"/>
  <c r="V55" i="20"/>
  <c r="W55" i="20" s="1"/>
  <c r="S55" i="20"/>
  <c r="T55" i="20" s="1"/>
  <c r="M55" i="20"/>
  <c r="P55" i="20" s="1"/>
  <c r="Q55" i="20" s="1"/>
  <c r="X54" i="20"/>
  <c r="V54" i="20"/>
  <c r="W54" i="20" s="1"/>
  <c r="S54" i="20"/>
  <c r="T54" i="20" s="1"/>
  <c r="M54" i="20"/>
  <c r="P54" i="20" s="1"/>
  <c r="Q54" i="20" s="1"/>
  <c r="X53" i="20"/>
  <c r="V53" i="20"/>
  <c r="W53" i="20" s="1"/>
  <c r="S53" i="20"/>
  <c r="T53" i="20" s="1"/>
  <c r="M53" i="20"/>
  <c r="P53" i="20" s="1"/>
  <c r="Q53" i="20" s="1"/>
  <c r="X52" i="20"/>
  <c r="V52" i="20"/>
  <c r="W52" i="20" s="1"/>
  <c r="S52" i="20"/>
  <c r="T52" i="20" s="1"/>
  <c r="M52" i="20"/>
  <c r="P52" i="20" s="1"/>
  <c r="Q52" i="20" s="1"/>
  <c r="X51" i="20"/>
  <c r="M51" i="20"/>
  <c r="Y51" i="20" s="1"/>
  <c r="X50" i="20"/>
  <c r="V50" i="20"/>
  <c r="W50" i="20" s="1"/>
  <c r="S50" i="20"/>
  <c r="T50" i="20" s="1"/>
  <c r="M50" i="20"/>
  <c r="P50" i="20" s="1"/>
  <c r="X49" i="20"/>
  <c r="V49" i="20"/>
  <c r="W49" i="20" s="1"/>
  <c r="S49" i="20"/>
  <c r="T49" i="20" s="1"/>
  <c r="M49" i="20"/>
  <c r="P49" i="20" s="1"/>
  <c r="X48" i="20"/>
  <c r="V48" i="20"/>
  <c r="W48" i="20" s="1"/>
  <c r="S48" i="20"/>
  <c r="T48" i="20" s="1"/>
  <c r="M48" i="20"/>
  <c r="P48" i="20" s="1"/>
  <c r="X47" i="20"/>
  <c r="V47" i="20"/>
  <c r="W47" i="20" s="1"/>
  <c r="S47" i="20"/>
  <c r="T47" i="20" s="1"/>
  <c r="M47" i="20"/>
  <c r="P47" i="20" s="1"/>
  <c r="Q47" i="20" s="1"/>
  <c r="X46" i="20"/>
  <c r="V46" i="20"/>
  <c r="W46" i="20" s="1"/>
  <c r="S46" i="20"/>
  <c r="T46" i="20" s="1"/>
  <c r="M46" i="20"/>
  <c r="P46" i="20" s="1"/>
  <c r="Q46" i="20" s="1"/>
  <c r="X45" i="20"/>
  <c r="V45" i="20"/>
  <c r="W45" i="20" s="1"/>
  <c r="S45" i="20"/>
  <c r="T45" i="20" s="1"/>
  <c r="M45" i="20"/>
  <c r="P45" i="20" s="1"/>
  <c r="Q45" i="20" s="1"/>
  <c r="X44" i="20"/>
  <c r="V44" i="20"/>
  <c r="W44" i="20" s="1"/>
  <c r="S44" i="20"/>
  <c r="T44" i="20" s="1"/>
  <c r="M44" i="20"/>
  <c r="P44" i="20" s="1"/>
  <c r="Q44" i="20" s="1"/>
  <c r="X43" i="20"/>
  <c r="V43" i="20"/>
  <c r="W43" i="20" s="1"/>
  <c r="S43" i="20"/>
  <c r="T43" i="20" s="1"/>
  <c r="M43" i="20"/>
  <c r="P43" i="20" s="1"/>
  <c r="Q43" i="20" s="1"/>
  <c r="X42" i="20"/>
  <c r="V42" i="20"/>
  <c r="W42" i="20" s="1"/>
  <c r="S42" i="20"/>
  <c r="T42" i="20" s="1"/>
  <c r="M42" i="20"/>
  <c r="P42" i="20" s="1"/>
  <c r="Q42" i="20" s="1"/>
  <c r="X41" i="20"/>
  <c r="V41" i="20"/>
  <c r="W41" i="20" s="1"/>
  <c r="S41" i="20"/>
  <c r="M41" i="20"/>
  <c r="P41" i="20" s="1"/>
  <c r="Q41" i="20" s="1"/>
  <c r="X40" i="20"/>
  <c r="V40" i="20"/>
  <c r="W40" i="20" s="1"/>
  <c r="S40" i="20"/>
  <c r="T40" i="20" s="1"/>
  <c r="M40" i="20"/>
  <c r="P40" i="20" s="1"/>
  <c r="Q40" i="20" s="1"/>
  <c r="X39" i="20"/>
  <c r="V39" i="20"/>
  <c r="W39" i="20" s="1"/>
  <c r="S39" i="20"/>
  <c r="T39" i="20" s="1"/>
  <c r="M39" i="20"/>
  <c r="P39" i="20" s="1"/>
  <c r="Q39" i="20" s="1"/>
  <c r="X38" i="20"/>
  <c r="V38" i="20"/>
  <c r="W38" i="20" s="1"/>
  <c r="S38" i="20"/>
  <c r="T38" i="20" s="1"/>
  <c r="M38" i="20"/>
  <c r="P38" i="20" s="1"/>
  <c r="Q38" i="20" s="1"/>
  <c r="I6" i="20"/>
  <c r="Y5" i="20"/>
  <c r="Z51" i="20" l="1"/>
  <c r="AA51" i="20" s="1"/>
  <c r="Y70" i="20"/>
  <c r="Z70" i="20" s="1"/>
  <c r="AA70" i="20" s="1"/>
  <c r="Y72" i="20"/>
  <c r="Z72" i="20" s="1"/>
  <c r="AA72" i="20" s="1"/>
  <c r="N65" i="20"/>
  <c r="Y41" i="20"/>
  <c r="Z41" i="20" s="1"/>
  <c r="AA41" i="20" s="1"/>
  <c r="N57" i="20"/>
  <c r="N73" i="20"/>
  <c r="Y74" i="20"/>
  <c r="Z74" i="20" s="1"/>
  <c r="AA74" i="20" s="1"/>
  <c r="N45" i="20"/>
  <c r="N47" i="20"/>
  <c r="N49" i="20"/>
  <c r="N72" i="20"/>
  <c r="Y73" i="20"/>
  <c r="Z73" i="20" s="1"/>
  <c r="AA73" i="20" s="1"/>
  <c r="N46" i="20"/>
  <c r="N61" i="20"/>
  <c r="N70" i="20"/>
  <c r="N41" i="20"/>
  <c r="Y46" i="20"/>
  <c r="Z46" i="20" s="1"/>
  <c r="AA46" i="20" s="1"/>
  <c r="N48" i="20"/>
  <c r="N50" i="20"/>
  <c r="Y85" i="20"/>
  <c r="Z85" i="20" s="1"/>
  <c r="AA85" i="20" s="1"/>
  <c r="N86" i="20"/>
  <c r="Y87" i="20"/>
  <c r="Z87" i="20" s="1"/>
  <c r="AA87" i="20" s="1"/>
  <c r="N88" i="20"/>
  <c r="Y89" i="20"/>
  <c r="Z89" i="20" s="1"/>
  <c r="AA89" i="20" s="1"/>
  <c r="N91" i="20"/>
  <c r="P86" i="20"/>
  <c r="Q86" i="20" s="1"/>
  <c r="P88" i="20"/>
  <c r="Q88" i="20" s="1"/>
  <c r="P90" i="20"/>
  <c r="Q90" i="20" s="1"/>
  <c r="N85" i="20"/>
  <c r="N87" i="20"/>
  <c r="N89" i="20"/>
  <c r="Y91" i="20"/>
  <c r="Z91" i="20" s="1"/>
  <c r="AA91" i="20" s="1"/>
  <c r="P81" i="20"/>
  <c r="Q81" i="20" s="1"/>
  <c r="P82" i="20"/>
  <c r="Q82" i="20" s="1"/>
  <c r="N81" i="20"/>
  <c r="Q70" i="20"/>
  <c r="Q72" i="20"/>
  <c r="Q73" i="20"/>
  <c r="N75" i="20"/>
  <c r="Y75" i="20"/>
  <c r="Z75" i="20" s="1"/>
  <c r="AA75" i="20" s="1"/>
  <c r="N76" i="20"/>
  <c r="Y76" i="20"/>
  <c r="Z76" i="20" s="1"/>
  <c r="AA76" i="20" s="1"/>
  <c r="N77" i="20"/>
  <c r="Y77" i="20"/>
  <c r="Z77" i="20" s="1"/>
  <c r="AA77" i="20" s="1"/>
  <c r="N78" i="20"/>
  <c r="Y78" i="20"/>
  <c r="Z78" i="20" s="1"/>
  <c r="AA78" i="20" s="1"/>
  <c r="Y58" i="20"/>
  <c r="Z58" i="20" s="1"/>
  <c r="AA58" i="20" s="1"/>
  <c r="Y62" i="20"/>
  <c r="Z62" i="20" s="1"/>
  <c r="AA62" i="20" s="1"/>
  <c r="P67" i="20"/>
  <c r="Q67" i="20" s="1"/>
  <c r="Y67" i="20"/>
  <c r="Z67" i="20" s="1"/>
  <c r="AA67" i="20" s="1"/>
  <c r="N67" i="20"/>
  <c r="P68" i="20"/>
  <c r="Q68" i="20" s="1"/>
  <c r="N68" i="20"/>
  <c r="P69" i="20"/>
  <c r="Q69" i="20" s="1"/>
  <c r="N69" i="20"/>
  <c r="N56" i="20"/>
  <c r="Y57" i="20"/>
  <c r="Z57" i="20" s="1"/>
  <c r="AA57" i="20" s="1"/>
  <c r="N60" i="20"/>
  <c r="Y61" i="20"/>
  <c r="Z61" i="20" s="1"/>
  <c r="AA61" i="20" s="1"/>
  <c r="N64" i="20"/>
  <c r="Y65" i="20"/>
  <c r="Z65" i="20" s="1"/>
  <c r="AA65" i="20" s="1"/>
  <c r="N55" i="20"/>
  <c r="Y56" i="20"/>
  <c r="Z56" i="20" s="1"/>
  <c r="AA56" i="20" s="1"/>
  <c r="N59" i="20"/>
  <c r="Y60" i="20"/>
  <c r="Z60" i="20" s="1"/>
  <c r="AA60" i="20" s="1"/>
  <c r="N63" i="20"/>
  <c r="Y64" i="20"/>
  <c r="Z64" i="20" s="1"/>
  <c r="AA64" i="20" s="1"/>
  <c r="P66" i="20"/>
  <c r="Q66" i="20" s="1"/>
  <c r="Y55" i="20"/>
  <c r="Z55" i="20" s="1"/>
  <c r="AA55" i="20" s="1"/>
  <c r="N58" i="20"/>
  <c r="Y59" i="20"/>
  <c r="Z59" i="20" s="1"/>
  <c r="AA59" i="20" s="1"/>
  <c r="N62" i="20"/>
  <c r="Y63" i="20"/>
  <c r="Z63" i="20" s="1"/>
  <c r="AA63" i="20" s="1"/>
  <c r="N66" i="20"/>
  <c r="Y45" i="20"/>
  <c r="Z45" i="20" s="1"/>
  <c r="AA45" i="20" s="1"/>
  <c r="N39" i="20"/>
  <c r="Y40" i="20"/>
  <c r="Z40" i="20" s="1"/>
  <c r="AA40" i="20" s="1"/>
  <c r="T41" i="20"/>
  <c r="Y38" i="20"/>
  <c r="Z38" i="20" s="1"/>
  <c r="AA38" i="20" s="1"/>
  <c r="Y42" i="20"/>
  <c r="Z42" i="20" s="1"/>
  <c r="AA42" i="20" s="1"/>
  <c r="Q48" i="20"/>
  <c r="Y48" i="20"/>
  <c r="Z48" i="20" s="1"/>
  <c r="AA48" i="20" s="1"/>
  <c r="Q50" i="20"/>
  <c r="Y50" i="20"/>
  <c r="Z50" i="20" s="1"/>
  <c r="AA50" i="20" s="1"/>
  <c r="N40" i="20"/>
  <c r="N44" i="20"/>
  <c r="N43" i="20"/>
  <c r="Y44" i="20"/>
  <c r="Z44" i="20" s="1"/>
  <c r="AA44" i="20" s="1"/>
  <c r="Q49" i="20"/>
  <c r="Y49" i="20"/>
  <c r="Z49" i="20" s="1"/>
  <c r="AA49" i="20" s="1"/>
  <c r="N38" i="20"/>
  <c r="Y39" i="20"/>
  <c r="Z39" i="20" s="1"/>
  <c r="AA39" i="20" s="1"/>
  <c r="N42" i="20"/>
  <c r="Y43" i="20"/>
  <c r="Z43" i="20" s="1"/>
  <c r="AA43" i="20" s="1"/>
  <c r="Y47" i="20"/>
  <c r="Z47" i="20" s="1"/>
  <c r="AA47" i="20" s="1"/>
  <c r="N52" i="20"/>
  <c r="Y52" i="20"/>
  <c r="Z52" i="20" s="1"/>
  <c r="AA52" i="20" s="1"/>
  <c r="N53" i="20"/>
  <c r="Y53" i="20"/>
  <c r="Z53" i="20" s="1"/>
  <c r="AA53" i="20" s="1"/>
  <c r="N54" i="20"/>
  <c r="Y54" i="20"/>
  <c r="Z54" i="20" s="1"/>
  <c r="AA54" i="20" s="1"/>
  <c r="L11" i="13"/>
  <c r="M11" i="13" s="1"/>
  <c r="R11" i="13"/>
  <c r="S11" i="13" s="1"/>
  <c r="U11" i="13"/>
  <c r="V11" i="13" s="1"/>
  <c r="W11" i="13"/>
  <c r="Y69" i="20" l="1"/>
  <c r="Z69" i="20" s="1"/>
  <c r="AA69" i="20" s="1"/>
  <c r="Y68" i="20"/>
  <c r="Z68" i="20" s="1"/>
  <c r="AA68" i="20" s="1"/>
  <c r="AA7" i="20"/>
  <c r="Y90" i="20"/>
  <c r="Z90" i="20" s="1"/>
  <c r="AA90" i="20" s="1"/>
  <c r="Y88" i="20"/>
  <c r="Z88" i="20" s="1"/>
  <c r="AA88" i="20" s="1"/>
  <c r="Y86" i="20"/>
  <c r="Z86" i="20" s="1"/>
  <c r="AA86" i="20" s="1"/>
  <c r="Y82" i="20"/>
  <c r="Z82" i="20" s="1"/>
  <c r="AA82" i="20" s="1"/>
  <c r="Y81" i="20"/>
  <c r="Z81" i="20" s="1"/>
  <c r="AA81" i="20" s="1"/>
  <c r="Y66" i="20"/>
  <c r="Z66" i="20" s="1"/>
  <c r="AA66" i="20" s="1"/>
  <c r="O11" i="13"/>
  <c r="P11" i="13" s="1"/>
  <c r="X11" i="13" l="1"/>
  <c r="Y11" i="13" s="1"/>
  <c r="Z11" i="13" s="1"/>
  <c r="AS11" i="13" s="1"/>
  <c r="H19" i="18" l="1"/>
  <c r="D19" i="18" l="1"/>
  <c r="W13" i="18" l="1"/>
  <c r="R17" i="18"/>
  <c r="W17" i="18"/>
  <c r="W15" i="18"/>
  <c r="Z7" i="19" l="1"/>
  <c r="L14" i="19"/>
  <c r="M14" i="19" s="1"/>
  <c r="R14" i="19"/>
  <c r="S14" i="19" s="1"/>
  <c r="U14" i="19"/>
  <c r="V14" i="19" s="1"/>
  <c r="W14" i="19"/>
  <c r="L15" i="19"/>
  <c r="M15" i="19" s="1"/>
  <c r="R15" i="19"/>
  <c r="S15" i="19" s="1"/>
  <c r="U15" i="19"/>
  <c r="V15" i="19" s="1"/>
  <c r="W15" i="19"/>
  <c r="L16" i="19"/>
  <c r="M16" i="19" s="1"/>
  <c r="R16" i="19"/>
  <c r="S16" i="19" s="1"/>
  <c r="U16" i="19"/>
  <c r="V16" i="19" s="1"/>
  <c r="W16" i="19"/>
  <c r="L17" i="19"/>
  <c r="M17" i="19" s="1"/>
  <c r="R17" i="19"/>
  <c r="S17" i="19" s="1"/>
  <c r="U17" i="19"/>
  <c r="V17" i="19" s="1"/>
  <c r="W17" i="19"/>
  <c r="L12" i="19"/>
  <c r="M12" i="19" s="1"/>
  <c r="R12" i="19"/>
  <c r="S12" i="19" s="1"/>
  <c r="U12" i="19"/>
  <c r="V12" i="19" s="1"/>
  <c r="W12" i="19"/>
  <c r="S15" i="6"/>
  <c r="T15" i="6" s="1"/>
  <c r="V15" i="6"/>
  <c r="W15" i="6" s="1"/>
  <c r="H18" i="19"/>
  <c r="Y15" i="6" l="1"/>
  <c r="Z15" i="6" s="1"/>
  <c r="AA15" i="6" s="1"/>
  <c r="O17" i="19"/>
  <c r="P17" i="19" s="1"/>
  <c r="O15" i="19"/>
  <c r="P15" i="19" s="1"/>
  <c r="O14" i="19"/>
  <c r="P14" i="19" s="1"/>
  <c r="O16" i="19"/>
  <c r="P16" i="19" s="1"/>
  <c r="O12" i="19"/>
  <c r="P12" i="19" s="1"/>
  <c r="X17" i="19" l="1"/>
  <c r="Y17" i="19" s="1"/>
  <c r="Z17" i="19" s="1"/>
  <c r="X14" i="19"/>
  <c r="Y14" i="19" s="1"/>
  <c r="Z14" i="19" s="1"/>
  <c r="X15" i="19"/>
  <c r="Y15" i="19" s="1"/>
  <c r="Z15" i="19" s="1"/>
  <c r="X12" i="19"/>
  <c r="Y12" i="19" s="1"/>
  <c r="Z12" i="19" s="1"/>
  <c r="X16" i="19"/>
  <c r="Y16" i="19" s="1"/>
  <c r="Z16" i="19" s="1"/>
  <c r="W13" i="19"/>
  <c r="U13" i="19"/>
  <c r="V13" i="19" s="1"/>
  <c r="R13" i="19"/>
  <c r="S13" i="19" s="1"/>
  <c r="L13" i="19"/>
  <c r="O13" i="19" s="1"/>
  <c r="W11" i="19"/>
  <c r="U11" i="19"/>
  <c r="V11" i="19" s="1"/>
  <c r="R11" i="19"/>
  <c r="S11" i="19" s="1"/>
  <c r="O11" i="19"/>
  <c r="H6" i="19"/>
  <c r="X5" i="19"/>
  <c r="M11" i="19" l="1"/>
  <c r="M13" i="19"/>
  <c r="P13" i="19"/>
  <c r="X13" i="19"/>
  <c r="Y13" i="19" s="1"/>
  <c r="Z13" i="19" s="1"/>
  <c r="P11" i="19"/>
  <c r="X11" i="19"/>
  <c r="Y11" i="19" s="1"/>
  <c r="Z11" i="19" s="1"/>
  <c r="X5" i="18"/>
  <c r="L16" i="18"/>
  <c r="M16" i="18" s="1"/>
  <c r="R16" i="18"/>
  <c r="S16" i="18" s="1"/>
  <c r="U16" i="18"/>
  <c r="V16" i="18" s="1"/>
  <c r="W16" i="18"/>
  <c r="L17" i="18"/>
  <c r="M17" i="18" s="1"/>
  <c r="S17" i="18"/>
  <c r="U17" i="18"/>
  <c r="V17" i="18" s="1"/>
  <c r="L18" i="18"/>
  <c r="M18" i="18" s="1"/>
  <c r="R18" i="18"/>
  <c r="S18" i="18" s="1"/>
  <c r="U18" i="18"/>
  <c r="V18" i="18" s="1"/>
  <c r="W18" i="18"/>
  <c r="AS11" i="19" l="1"/>
  <c r="P18" i="18"/>
  <c r="P17" i="18"/>
  <c r="P16" i="18"/>
  <c r="S22" i="6"/>
  <c r="T22" i="6" s="1"/>
  <c r="V22" i="6"/>
  <c r="W22" i="6" s="1"/>
  <c r="X18" i="18" l="1"/>
  <c r="Y18" i="18" s="1"/>
  <c r="Z18" i="18" s="1"/>
  <c r="X17" i="18"/>
  <c r="Y17" i="18" s="1"/>
  <c r="Z17" i="18" s="1"/>
  <c r="X16" i="18"/>
  <c r="Y16" i="18" s="1"/>
  <c r="Z16" i="18" s="1"/>
  <c r="P22" i="6"/>
  <c r="Q22" i="6" s="1"/>
  <c r="Y22" i="6" l="1"/>
  <c r="Z22" i="6" s="1"/>
  <c r="AA22" i="6" s="1"/>
  <c r="AT22" i="6" s="1"/>
  <c r="U15" i="18" l="1"/>
  <c r="V15" i="18" s="1"/>
  <c r="R15" i="18"/>
  <c r="S15" i="18" s="1"/>
  <c r="L15" i="18"/>
  <c r="M15" i="18" s="1"/>
  <c r="U13" i="18"/>
  <c r="V13" i="18" s="1"/>
  <c r="R13" i="18"/>
  <c r="S13" i="18" s="1"/>
  <c r="W11" i="18"/>
  <c r="U11" i="18"/>
  <c r="V11" i="18" s="1"/>
  <c r="R11" i="18"/>
  <c r="S11" i="18" s="1"/>
  <c r="P11" i="18"/>
  <c r="X5" i="13"/>
  <c r="X12" i="6"/>
  <c r="V12" i="6"/>
  <c r="W12" i="6" s="1"/>
  <c r="S12" i="6"/>
  <c r="T12" i="6" s="1"/>
  <c r="M11" i="6"/>
  <c r="I6" i="6"/>
  <c r="Y5" i="6"/>
  <c r="Q12" i="6" l="1"/>
  <c r="P13" i="18"/>
  <c r="M13" i="18"/>
  <c r="P15" i="18"/>
  <c r="X11" i="18"/>
  <c r="Y11" i="18" s="1"/>
  <c r="Z11" i="18" s="1"/>
  <c r="M11" i="18"/>
  <c r="N11" i="6"/>
  <c r="X13" i="18" l="1"/>
  <c r="Y13" i="18" s="1"/>
  <c r="Z13" i="18" s="1"/>
  <c r="Y12" i="6"/>
  <c r="Z12" i="6" s="1"/>
  <c r="AA12" i="6" s="1"/>
  <c r="Q11" i="6"/>
  <c r="Z7" i="13"/>
  <c r="X15" i="18"/>
  <c r="Y15" i="18" s="1"/>
  <c r="J14" i="5"/>
  <c r="G20" i="5" s="1"/>
  <c r="E20" i="5"/>
  <c r="D20" i="5"/>
  <c r="I14" i="5"/>
  <c r="H14" i="5"/>
  <c r="E14" i="5"/>
  <c r="G8" i="5"/>
  <c r="C8" i="5" s="1"/>
  <c r="E8" i="5"/>
  <c r="D8" i="5"/>
  <c r="AF6" i="5"/>
  <c r="AE4" i="5"/>
  <c r="AG4" i="5" s="1"/>
  <c r="AE5" i="5"/>
  <c r="AF5" i="5"/>
  <c r="X5" i="5"/>
  <c r="V5" i="5"/>
  <c r="BH4" i="5"/>
  <c r="BG4" i="5"/>
  <c r="BF4" i="5"/>
  <c r="AS4" i="5"/>
  <c r="AR4" i="5"/>
  <c r="AQ4" i="5"/>
  <c r="AO4" i="5"/>
  <c r="X4" i="5"/>
  <c r="V4" i="5"/>
  <c r="I4" i="5"/>
  <c r="H4" i="5"/>
  <c r="G4" i="5"/>
  <c r="E4" i="5"/>
  <c r="G15" i="4"/>
  <c r="G16" i="4"/>
  <c r="F15" i="4"/>
  <c r="F16" i="4"/>
  <c r="F17" i="4"/>
  <c r="B17" i="4"/>
  <c r="B16" i="4"/>
  <c r="B15" i="4"/>
  <c r="AP4" i="5" l="1"/>
  <c r="Z15" i="18"/>
  <c r="AS11" i="18" s="1"/>
  <c r="W11" i="6"/>
  <c r="T11" i="6"/>
  <c r="G18" i="4"/>
  <c r="E15" i="4" s="1"/>
  <c r="F4" i="5"/>
  <c r="AE6" i="5"/>
  <c r="AG6" i="5" s="1"/>
  <c r="F18" i="4"/>
  <c r="W4" i="5"/>
  <c r="G14" i="5"/>
  <c r="H15" i="4"/>
  <c r="F8" i="5"/>
  <c r="C20" i="5"/>
  <c r="F20" i="5"/>
  <c r="H16" i="4"/>
  <c r="W5" i="5"/>
  <c r="F14" i="5"/>
  <c r="Z7" i="18" l="1"/>
  <c r="Y11" i="6"/>
  <c r="Z11" i="6" s="1"/>
  <c r="AA11" i="6" s="1"/>
  <c r="H18" i="4"/>
  <c r="E17" i="4"/>
  <c r="E16" i="4"/>
  <c r="AT11" i="6" l="1"/>
  <c r="AA7" i="6"/>
  <c r="E18" i="4"/>
</calcChain>
</file>

<file path=xl/comments1.xml><?xml version="1.0" encoding="utf-8"?>
<comments xmlns="http://schemas.openxmlformats.org/spreadsheetml/2006/main">
  <authors>
    <author>Hilda Lucero Molina</author>
  </authors>
  <commentList>
    <comment ref="L66" authorId="0" shapeId="0">
      <text>
        <r>
          <rPr>
            <b/>
            <sz val="9"/>
            <color indexed="81"/>
            <rFont val="Tahoma"/>
            <family val="2"/>
          </rPr>
          <t>Hilda Lucero Molina:</t>
        </r>
        <r>
          <rPr>
            <sz val="9"/>
            <color indexed="81"/>
            <rFont val="Tahoma"/>
            <family val="2"/>
          </rPr>
          <t xml:space="preserve">
FONTIBON </t>
        </r>
      </text>
    </comment>
    <comment ref="AF66" authorId="0" shapeId="0">
      <text>
        <r>
          <rPr>
            <b/>
            <sz val="9"/>
            <color indexed="81"/>
            <rFont val="Tahoma"/>
            <family val="2"/>
          </rPr>
          <t>Hilda Lucero Molina:</t>
        </r>
        <r>
          <rPr>
            <sz val="9"/>
            <color indexed="81"/>
            <rFont val="Tahoma"/>
            <family val="2"/>
          </rPr>
          <t xml:space="preserve">
FONTIBON </t>
        </r>
      </text>
    </comment>
  </commentList>
</comments>
</file>

<file path=xl/comments2.xml><?xml version="1.0" encoding="utf-8"?>
<comments xmlns="http://schemas.openxmlformats.org/spreadsheetml/2006/main">
  <authors>
    <author>Hilda Lucero Molina</author>
  </authors>
  <commentList>
    <comment ref="L16" authorId="0" shapeId="0">
      <text>
        <r>
          <rPr>
            <b/>
            <sz val="9"/>
            <color indexed="81"/>
            <rFont val="Tahoma"/>
            <family val="2"/>
          </rPr>
          <t>Hilda Lucero Molina:</t>
        </r>
        <r>
          <rPr>
            <sz val="9"/>
            <color indexed="81"/>
            <rFont val="Tahoma"/>
            <family val="2"/>
          </rPr>
          <t xml:space="preserve">
FONTIBON </t>
        </r>
      </text>
    </comment>
    <comment ref="AF16" authorId="0" shapeId="0">
      <text>
        <r>
          <rPr>
            <b/>
            <sz val="9"/>
            <color indexed="81"/>
            <rFont val="Tahoma"/>
            <family val="2"/>
          </rPr>
          <t>Hilda Lucero Molina:</t>
        </r>
        <r>
          <rPr>
            <sz val="9"/>
            <color indexed="81"/>
            <rFont val="Tahoma"/>
            <family val="2"/>
          </rPr>
          <t xml:space="preserve">
FONTIBON </t>
        </r>
      </text>
    </comment>
  </commentList>
</comments>
</file>

<file path=xl/sharedStrings.xml><?xml version="1.0" encoding="utf-8"?>
<sst xmlns="http://schemas.openxmlformats.org/spreadsheetml/2006/main" count="3942" uniqueCount="800">
  <si>
    <t>FORMATO DE FORMULACIÓN Y SEGUIMIENTO DE PLANES DE GESTIÓN</t>
  </si>
  <si>
    <t>MISIÓN:</t>
  </si>
  <si>
    <t>PROCESO:</t>
  </si>
  <si>
    <t>Gestión de Incidentes de Seguridad y/o Emergencia</t>
  </si>
  <si>
    <t>CATEGORÍA:</t>
  </si>
  <si>
    <t>OBJETIVO DEL PROCESO:</t>
  </si>
  <si>
    <t>LIDER DEL PROCESO</t>
  </si>
  <si>
    <t>AVANCE DEL PLAN DE GESTIÓN:</t>
  </si>
  <si>
    <t>OBJETIVO ESTRATÉGICO</t>
  </si>
  <si>
    <t>ID. META GLOBAL</t>
  </si>
  <si>
    <t>META GLOBAL</t>
  </si>
  <si>
    <t>POND META</t>
  </si>
  <si>
    <t>Tipo de Programación</t>
  </si>
  <si>
    <t>Tipo de Anualización</t>
  </si>
  <si>
    <t>CUANTIFICACIÓN DE LA META</t>
  </si>
  <si>
    <t>AVANCE POND. META</t>
  </si>
  <si>
    <t>INDICADOR</t>
  </si>
  <si>
    <t>MEDIO DE VERIFICACION</t>
  </si>
  <si>
    <t>EJECUCIÓN TRIMESTRE I</t>
  </si>
  <si>
    <t>EJECUCIÓN TRIMESTRE II</t>
  </si>
  <si>
    <t>EJECUCIÓN TRIMESTRE III</t>
  </si>
  <si>
    <t>EJECUCIÓN TRIMESTRE IV</t>
  </si>
  <si>
    <t>Trimestre I</t>
  </si>
  <si>
    <t>Trimestre II</t>
  </si>
  <si>
    <t>Trimestre III</t>
  </si>
  <si>
    <t>Trimestre IV</t>
  </si>
  <si>
    <t>ANUAL</t>
  </si>
  <si>
    <t>NOMBRE</t>
  </si>
  <si>
    <t>FÓRMULA</t>
  </si>
  <si>
    <t xml:space="preserve">CATEGORÍA
</t>
  </si>
  <si>
    <t>FÓRMULA INDICADOR</t>
  </si>
  <si>
    <t>ANÁLISIS DE AVANCE</t>
  </si>
  <si>
    <t>Prog</t>
  </si>
  <si>
    <t>Ejec.</t>
  </si>
  <si>
    <t>% Ejec</t>
  </si>
  <si>
    <t xml:space="preserve">Prog </t>
  </si>
  <si>
    <t>Ejec</t>
  </si>
  <si>
    <t>NUMERADOR</t>
  </si>
  <si>
    <t>DENOMINADOR</t>
  </si>
  <si>
    <t>Porcentaje</t>
  </si>
  <si>
    <t>Suma</t>
  </si>
  <si>
    <t>Efectividad</t>
  </si>
  <si>
    <t>Cantidad</t>
  </si>
  <si>
    <t>Eficacia</t>
  </si>
  <si>
    <t xml:space="preserve">* Direccionamiento y Control </t>
  </si>
  <si>
    <t>Nº Proceso</t>
  </si>
  <si>
    <t>Nº Meta</t>
  </si>
  <si>
    <t>.1</t>
  </si>
  <si>
    <t>I Direccionamiento y Control</t>
  </si>
  <si>
    <t>Estratégico</t>
  </si>
  <si>
    <t>.2</t>
  </si>
  <si>
    <t>.3</t>
  </si>
  <si>
    <t>.4</t>
  </si>
  <si>
    <t>Subsecretario(a) de Asuntos para la Convivencia y Seguridad Ciudadana</t>
  </si>
  <si>
    <t>Misional</t>
  </si>
  <si>
    <t>.5</t>
  </si>
  <si>
    <t>.6</t>
  </si>
  <si>
    <t>.7</t>
  </si>
  <si>
    <t>.8</t>
  </si>
  <si>
    <t>Gestión Jurídica</t>
  </si>
  <si>
    <t>.9</t>
  </si>
  <si>
    <t>.10</t>
  </si>
  <si>
    <t>Director(a) de Gestión Humana</t>
  </si>
  <si>
    <t>.11</t>
  </si>
  <si>
    <t>.12</t>
  </si>
  <si>
    <t>.13</t>
  </si>
  <si>
    <t>.14</t>
  </si>
  <si>
    <t>Gestión Normativa y Jurídica Local</t>
  </si>
  <si>
    <t>.15</t>
  </si>
  <si>
    <t>Alcaldes(as) Locales</t>
  </si>
  <si>
    <t>II Desarrollo Local</t>
  </si>
  <si>
    <t>Ejercer inspección, vigilancia y control respecto al cumplimiento de las normas vigentes por parte de la ciudadanía, en materia de control policivo relacionado con establecimientos de comercio, espacio público, obras y urbanismo; comportamientos contratrios a la convivencia ciudadana que afecten las condiciones de serguridad, tranquilidad, salubridad y moralidad pública, ornato pública y ecología; con transparencia, celeridad, economía, imparcialidad y eficiencia.</t>
  </si>
  <si>
    <t>Gestión para la Convivencia y Seguridad Integral</t>
  </si>
  <si>
    <t>.16</t>
  </si>
  <si>
    <t>Desarrollar acciones policivas, preventivas e integrales promoviendo la convivencia y seguridad en los ciudadanos, que permitan disminuir las causas generadoras de la conflictividad y riesgos de origen natural o antrópicos, bajo un enfoque de equidad, oportunidad, integralidad, participación ciudadana con corresponsabilidad, acceso a la justicia en el marco de la Constituciòn, la Ley y el respeto de los derechos humanos.</t>
  </si>
  <si>
    <t>Gestión para el Desarrollo Local</t>
  </si>
  <si>
    <t>.17</t>
  </si>
  <si>
    <t>Implementar y consolidar la Gestión del Desarrollo Local, mediante la participación activa y cualificada de los actores locales e instancias en procesos de planeación, gestión, ejecución, seguimiento y control del desarrollo del territorio para el mejoramiento de la calidad de vida y la Gobernabilidad Local.</t>
  </si>
  <si>
    <t>Agenciamiento de la Política Pública</t>
  </si>
  <si>
    <t>.18</t>
  </si>
  <si>
    <t>Implementar las políticas pública a través del fortalecimiento de los procesos de planeación y seguimiento local, acorde con el proceso de planeación estratégica Distrital y las necesidades identificadas en los espacios de participación ciudadana.</t>
  </si>
  <si>
    <t>* NUSE</t>
  </si>
  <si>
    <t>.19</t>
  </si>
  <si>
    <t>.20</t>
  </si>
  <si>
    <t>II NUSE</t>
  </si>
  <si>
    <t>Informar a la agencias de despacho sobre las solicitudes realizadas frente a eventos de seguridad y emergencias en el Distrito Capital y Ciudad Región, mediante una caracterización precisa de los mismos, para que las agencias den una respuesta coordinada y efectiva según sus competencias.</t>
  </si>
  <si>
    <t>Seguimiento y Control de Incidentes de Seguridad y/o Emergencia</t>
  </si>
  <si>
    <t>.21</t>
  </si>
  <si>
    <t>Garantizar una respuesta eficiente y oportuna mediante la coordinación de las agencias de despacho y/o entidades, para prevenir, atender y mitigar el impacto de los eventos de seguridad y emergencias que se suscitan en el Distrito Capital.</t>
  </si>
  <si>
    <t xml:space="preserve">* Personas Privadas de la Libertad </t>
  </si>
  <si>
    <t>.22</t>
  </si>
  <si>
    <t>Atención Integral Básica a las PPL</t>
  </si>
  <si>
    <t>.23</t>
  </si>
  <si>
    <t xml:space="preserve">Director(a) de la Cárcel Distrital </t>
  </si>
  <si>
    <t>II Personas Privadas de la Libertad</t>
  </si>
  <si>
    <t>Brindar condiciones dignas de reclusión a todas las personas privadas de la libertad, a través de la prestación oportuna de servicios que suplan las necesidades básicas y el desarrollo de actividades válidas para redención de pena.</t>
  </si>
  <si>
    <t>Custodia y Vigilancia para la Seguridad</t>
  </si>
  <si>
    <t>.24</t>
  </si>
  <si>
    <t>Custodiar y Vigilar a las personas privadas de la libertad dentro y fuera del establecimiento carcelario en forma oportuna y efectiva tendiente a evitar que se causen daño así mismos, a otras personas y a las instalaciones, velando por su permanencia en el establecimiento de acuerdo a la decisión de la autoridad competente.</t>
  </si>
  <si>
    <t>Trámite Jurídico a la Situación de las PPL</t>
  </si>
  <si>
    <t>.25</t>
  </si>
  <si>
    <t>Estudiar, tramitar y proyectar los actos administrativos de los asuntos juridícos de las personas privadas de la libertad, aplicando las disposiciones legales, procedimentales y el reglamento interno vigente.</t>
  </si>
  <si>
    <t>Indicador</t>
  </si>
  <si>
    <t>Eficiencia</t>
  </si>
  <si>
    <t>Programación</t>
  </si>
  <si>
    <t>Anualización</t>
  </si>
  <si>
    <t>Constante</t>
  </si>
  <si>
    <t>Dotar la sala de crisis de infraestructura tecnológica</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</si>
  <si>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</si>
  <si>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</si>
  <si>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</si>
  <si>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</si>
  <si>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</si>
  <si>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</si>
  <si>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</si>
  <si>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</si>
  <si>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</si>
  <si>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</si>
  <si>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</si>
  <si>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</si>
  <si>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</si>
  <si>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</si>
  <si>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</si>
  <si>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</si>
  <si>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</si>
  <si>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</si>
  <si>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</si>
  <si>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</si>
  <si>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</si>
  <si>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</si>
  <si>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</si>
  <si>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</si>
  <si>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</si>
  <si>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</si>
  <si>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AVANCE CUMPLIMIENTO METAS 2008-2012</t>
  </si>
  <si>
    <t>EJECUCION PRESUPUESTAL</t>
  </si>
  <si>
    <t>META</t>
  </si>
  <si>
    <t>Nombre de Indicador Plan de Desarrollo</t>
  </si>
  <si>
    <t>UNIDAD DE MEDIDA</t>
  </si>
  <si>
    <t>Formula Indicador</t>
  </si>
  <si>
    <t>UNIDAD DE MEDIDA PDD
2008-2012</t>
  </si>
  <si>
    <t>CUMPLIMIENTO ACUMULADO PLAN DESARROLLO 2008-2011</t>
  </si>
  <si>
    <t>PROG 
2008-2011</t>
  </si>
  <si>
    <t>PROG VIGENCIA 2011</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</si>
  <si>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</si>
  <si>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</si>
  <si>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</si>
  <si>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</si>
  <si>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</si>
  <si>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</si>
  <si>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</si>
  <si>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</si>
  <si>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</si>
  <si>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</si>
  <si>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</si>
  <si>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</si>
  <si>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</si>
  <si>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</si>
  <si>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</si>
  <si>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Dotación de Infraestructura tecnológica de la sala de crisis</t>
  </si>
  <si>
    <t>1
 SALA CRISIS DOTADA</t>
  </si>
  <si>
    <t>%    dotación adelantada</t>
  </si>
  <si>
    <t>PROGRAMADO 2008-2011</t>
  </si>
  <si>
    <t>PROGRAMADO VIGENCIA</t>
  </si>
  <si>
    <t>AVANCE PORCENTUAL VIGENCIA</t>
  </si>
  <si>
    <t>TOTAL PROYECTO DE INVERSION 428</t>
  </si>
  <si>
    <t>CUMPLIMIENTO ACUMULADO PLAN DESARROLLO
2008-2011</t>
  </si>
  <si>
    <t xml:space="preserve"> PROG 2008-2011</t>
  </si>
  <si>
    <t>|</t>
  </si>
  <si>
    <t xml:space="preserve"> PROGRAMADO 2008-2011</t>
  </si>
  <si>
    <t>PROGRAMADO VIGENCIA 2011</t>
  </si>
  <si>
    <t>AVANCE ACUMULADO A
 30 JUNIO/2011</t>
  </si>
  <si>
    <t>AVANCE 30 JUNIO</t>
  </si>
  <si>
    <t>AVANCE 
 MAGNITUD VIGENCIA
30 JUNIO 2011</t>
  </si>
  <si>
    <t>AVANCE PORCENTUAL VIGENCIA  A 30 JUNIO/2011</t>
  </si>
  <si>
    <t>AVANCE PORCENTUAL VIGENCIA 30 JUNIO/2011</t>
  </si>
  <si>
    <t>INSTITUTO DISTRITAL DE PROTECCION Y BIENESTAR ANIMAL</t>
  </si>
  <si>
    <t>Direccionamiento Estratégico</t>
  </si>
  <si>
    <t>Talento Humano</t>
  </si>
  <si>
    <t>Gestión de Comunicaciones</t>
  </si>
  <si>
    <t>PE01</t>
  </si>
  <si>
    <t>PE02</t>
  </si>
  <si>
    <t>PE03</t>
  </si>
  <si>
    <t>Salud Integral de la Fauna</t>
  </si>
  <si>
    <t>Apropiación de la cultura ciudadana</t>
  </si>
  <si>
    <t>Regulación asociada a la PYBA</t>
  </si>
  <si>
    <t>Gestión del conocimiento asociada a la PYBA</t>
  </si>
  <si>
    <t>Protección ante la crueldad animal</t>
  </si>
  <si>
    <t>Atención al ciudadano</t>
  </si>
  <si>
    <t>Gestión Administrativa y Documental</t>
  </si>
  <si>
    <t>Gestión Tecnológica</t>
  </si>
  <si>
    <t>Gestión Financiera</t>
  </si>
  <si>
    <t>PM01</t>
  </si>
  <si>
    <t>PM02</t>
  </si>
  <si>
    <t>PM03</t>
  </si>
  <si>
    <t>PM04</t>
  </si>
  <si>
    <t>PM05</t>
  </si>
  <si>
    <t>PA01</t>
  </si>
  <si>
    <t>PA02</t>
  </si>
  <si>
    <t>PA03</t>
  </si>
  <si>
    <t>PA04</t>
  </si>
  <si>
    <t>PA05</t>
  </si>
  <si>
    <t>Evaluación y Control a la Gestión</t>
  </si>
  <si>
    <t>PV01</t>
  </si>
  <si>
    <t>Apoyo</t>
  </si>
  <si>
    <t>Evaluación</t>
  </si>
  <si>
    <t>Dirección General</t>
  </si>
  <si>
    <t>Subdirector de Gestión Corporativa</t>
  </si>
  <si>
    <t>Subdirector de Atención a la Fauna</t>
  </si>
  <si>
    <t>Subdirector de Cultura Ciudadana y Gestión del Conocimiento</t>
  </si>
  <si>
    <t xml:space="preserve">VIGENCIA </t>
  </si>
  <si>
    <t>Diseñar una estructura organizacional productiva y generadora de felicidad, a través del desarrollo de capacidades del talento humano y un ambiente cordial y articulado, orientado al buen trato y el crecimiento de las capacidades personales y organizacionales.</t>
  </si>
  <si>
    <t>Establecer lineamientos, directrices y metodologías mediante herramientas de gestión que den cumplimiento a los requisitos de las partes interesadas del proceso.</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</si>
  <si>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</si>
  <si>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 xml:space="preserve">Planear y ejecutar estrategias y políticas eficaces de comunicación interna y externa que socialicen la gestión de la entidad y contribuyan al posicionamiento de la imagen institucional en el distrito. </t>
  </si>
  <si>
    <t>Prestar los servicios medico veterinarios y la identificación de los animales en el Distrito Capital con el fin de mejorar sus condiciones de salud y bienestar.</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</si>
  <si>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</si>
  <si>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</si>
  <si>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</si>
  <si>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</si>
  <si>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</si>
  <si>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Administrar los recursos físicos (tangibles e intangibles) propiedad o en calidad de alquiler del instituto, así como gestionar el manejo del  flujo documental de la entidad, con el fin de garantizar la memoria institucional.</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</si>
  <si>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</si>
  <si>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Planear, ejecutar y controlar los recursos financieros apropiados a la entidad, para el cumplimiento de su misionalidad y normatividad vigente.</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</si>
  <si>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</si>
  <si>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Jefe Oficina Asesora de Control Interno</t>
  </si>
  <si>
    <t>N/A</t>
  </si>
  <si>
    <t>Es la entidad rectora de la protección y bienestar de la fauna doméstica y silvestre a través de la atención integral, la promoción de una cultura ciudadana, basada en un solo bienestar humano animal y la participación ciudadana en la construcción de una sociedad corresponsable y sensible con la vida y el trtao digno de los animales</t>
  </si>
  <si>
    <t>LINEA BASE 2018</t>
  </si>
  <si>
    <t xml:space="preserve">Desarrollar 20  documentos de investigación y estrategias de difusión </t>
  </si>
  <si>
    <t>Diseñar e implementar el 0,40 de un sistema de información que de alcance a las necesidades del Instituto de Protección y Bienestar Animal</t>
  </si>
  <si>
    <t>Esterilizar 83.319 caninos y felinos en hogares localizados en estratos 1, 2 y 3.</t>
  </si>
  <si>
    <t xml:space="preserve">Capturar, esterilizar y soltar 9.257 caninos y felinos abandonados en habitabilidad en calle a través de brigadas. </t>
  </si>
  <si>
    <t>Diseñar e implementar un sistema integrado de gestión en un 0.30</t>
  </si>
  <si>
    <t>Diseñar e implementar 1 plataforma estrategica del Instituto en un 0.40</t>
  </si>
  <si>
    <t>DEPENDENCIA RESPONSABLE:</t>
  </si>
  <si>
    <t>SUBDIRECCIÓN DE GESTIÓN CORPORATIVA</t>
  </si>
  <si>
    <t>SUBDIRECCIÓN DE ATENCIÓN A LA FAUNA</t>
  </si>
  <si>
    <t>JEFE OFICINA ASESORA JURIDICA - SUBDIRECTOR DE GESTIÓN CORPORATIVA</t>
  </si>
  <si>
    <t>SUBDIRECCIÓN DE  GESTIÓN DEL CONOCIMIENTO Y CULTURA CIUDADANA</t>
  </si>
  <si>
    <t>OFICINA ASESORA DE PLANEACIÓN</t>
  </si>
  <si>
    <t>LINEA BASE</t>
  </si>
  <si>
    <t>Creciente</t>
  </si>
  <si>
    <t>Animales atendidos en Urgencias Veterinarias</t>
  </si>
  <si>
    <t>Animales en custodia del Instituto</t>
  </si>
  <si>
    <t>Animales entregados en adopción</t>
  </si>
  <si>
    <t xml:space="preserve">Animales atendidos en Brigadas Medicas </t>
  </si>
  <si>
    <t>Microchips implantados a caninos y felinos</t>
  </si>
  <si>
    <t>Implementar el 100% de los procesos transversales de apoyo para garantizar el óptimo funcionamiento del Instituto.                             TALENTO HUMANO</t>
  </si>
  <si>
    <t xml:space="preserve">Atender el 100% de los requerimientos técnicos, jurídicos, contractuales y disciplinarios solicitados por instancias internas y externas.                                    OFICINA CONTRACTUAL </t>
  </si>
  <si>
    <t>Implementar 2 aplicativos informaticos que soporten la gestión misional y administrativa del Instituto en un 0.50.                                     OFICINA DE SISTEMAS</t>
  </si>
  <si>
    <t>Atender el 100% de los requerimientos técnicos, jurídicos  y disciplinarios solicitados por instancias internas y externas.</t>
  </si>
  <si>
    <t>Atender el 100% de los requerimientos técnicos solicitados por instancias internas y externas.            AREA FINANCIERA</t>
  </si>
  <si>
    <t>META DETALLADA</t>
  </si>
  <si>
    <t>Desarrollar el 90% de acciones programadas del Plan Institucional de Capacitación PIC</t>
  </si>
  <si>
    <t>Ejecutar el 90% de las actividades del  programa de bienestar social e incentivos</t>
  </si>
  <si>
    <t>Realizar 3 Seguimientos a las acciones contempladas en la Matriz de riesgos del Instituto</t>
  </si>
  <si>
    <t>Realizar  2 Seguimientos a los planes de mejoramiento internos como externos programados por el cronograma establecido en el Plan de Auditorias.</t>
  </si>
  <si>
    <t>Desarrollo y fortalecimiento institucional del Instituto Distrital de Protección y Bienestar Animal</t>
  </si>
  <si>
    <t>Realizar la actualización de los 13 mapas de riesgos de los procesos a la nueva metodología del Departamento Administrativo de la Función Púlbica.</t>
  </si>
  <si>
    <t>Realizar 11 cargues de la información del Proyecto, Meta y Resultado Productos Metas Resultados -PMR</t>
  </si>
  <si>
    <t>Realizar 4 cargues trimestrales de la información requerida para el seguimiento del Plan -SEGPLAN</t>
  </si>
  <si>
    <t>Diseñar 100% de piezas gráficas comunicativas solicitadas por las dependencias de la entidad</t>
  </si>
  <si>
    <t>Realizar 100% de Campañas publicitarias internas y externas</t>
  </si>
  <si>
    <t xml:space="preserve"> Cubrir el 100% de eventos realizados</t>
  </si>
  <si>
    <t>Redactar el 100% comunicados y boletines de prensa institucional</t>
  </si>
  <si>
    <t>Registrar 100% de publicaciones en medios de comunicación que evidencian la gestión del Instituto Distrital de Protección y Bienestar Animal.</t>
  </si>
  <si>
    <t>Implementar  y fortalecer 1 estrategia de comunicaciones del Instituto.</t>
  </si>
  <si>
    <t>Responder el 100% de las situaciones administrativas de servidores públicos presentadas en la entidad</t>
  </si>
  <si>
    <t>Diseñar y editar el 100% de Piezas audiovisuales.</t>
  </si>
  <si>
    <t xml:space="preserve">Responder el 100% de  los requerimientos solicitados a la entidad en términos legales. </t>
  </si>
  <si>
    <t>ID META DETALLADA</t>
  </si>
  <si>
    <t xml:space="preserve">Implantar 152.576  microchip de identificación en animales caninos y felinos . </t>
  </si>
  <si>
    <t>Implementar 1 programas pilotos para el manejo de animales sinantropicos</t>
  </si>
  <si>
    <t>1.3</t>
  </si>
  <si>
    <t>1.4</t>
  </si>
  <si>
    <t>2.1</t>
  </si>
  <si>
    <t>2.2</t>
  </si>
  <si>
    <t>Garantizar 1 programa de atención para animales silvestres.</t>
  </si>
  <si>
    <t>3.1</t>
  </si>
  <si>
    <t>3.2</t>
  </si>
  <si>
    <t>4.1</t>
  </si>
  <si>
    <t>4.2</t>
  </si>
  <si>
    <t>6.1</t>
  </si>
  <si>
    <t>Elaborar 20 documentos de investigación</t>
  </si>
  <si>
    <t>ID. META DETALLADA</t>
  </si>
  <si>
    <t>1.1</t>
  </si>
  <si>
    <t>1.5</t>
  </si>
  <si>
    <t>1.2</t>
  </si>
  <si>
    <t>POND META GLOBAL</t>
  </si>
  <si>
    <t>1.6</t>
  </si>
  <si>
    <t>1.7</t>
  </si>
  <si>
    <t xml:space="preserve">Responder el 100% de  los requerimientos contractuales solicitados a la entidad en términos legales. </t>
  </si>
  <si>
    <t>Responder el 100% de requerimientos técnicos y funcionales de los servidores de la entidad</t>
  </si>
  <si>
    <t>Adquirir el 100% infraestructura tecnologica autorizada (compra o arriendo por proceso),   para la gestión de la operación del Instituto</t>
  </si>
  <si>
    <t>Desarrollar un 1 programa para animales sinantropicos</t>
  </si>
  <si>
    <t>POND META DETALLADA</t>
  </si>
  <si>
    <t xml:space="preserve">Realizar la publicación del Plan Anual Anticorrupción y Atención al Ciudadano PAAC </t>
  </si>
  <si>
    <t>Hacer 3 seguimientos al Plan Anticorrupción y de Atención al Ciudadano -PAAC</t>
  </si>
  <si>
    <t>Responder el 100% de los requerimientos relacionados con trámites financieros de la entidad</t>
  </si>
  <si>
    <t>Capturar, esterilizar y soltar 9.257 animales en abandono y en habitabilidad de calle.</t>
  </si>
  <si>
    <t>Realizar el 100% publicaciones en las redes sociales del Instituto alcanzando a 50 millones de personas</t>
  </si>
  <si>
    <t>Atender 17062  animales en maltrato, atención en salud animal, urgencias veterinarias, adopción, custodia y/o brigadas de salud. (15,700+1362 Rezago 2018)</t>
  </si>
  <si>
    <t>Atener 100% de los animales silvestres que llegan al centro de atencion</t>
  </si>
  <si>
    <t xml:space="preserve">Ejecutar 9 programas de comportamiento animal y enriquecimiento ambiental </t>
  </si>
  <si>
    <t>Emitir el 100% de Conceptos Técnicos de los animales que lo requieran</t>
  </si>
  <si>
    <t xml:space="preserve">Integrar a 1000 personas en procesos de aula virtual </t>
  </si>
  <si>
    <t xml:space="preserve">Integrar a 1.200 personas en procesos de Copropiedad </t>
  </si>
  <si>
    <t>Participar en 20 Consejos Locales de Protección y Bienestar Animal</t>
  </si>
  <si>
    <t>Acompañar la creación y puesta en  funcionamiento de 6 Consejos Locales de Protección y  Bienestar Animal</t>
  </si>
  <si>
    <t>Sensibilizar 750 personas en ámbito institucional</t>
  </si>
  <si>
    <t>Sensibilizar 200 personas en ámbito educativo en instituciones</t>
  </si>
  <si>
    <t>Vincular 4,198 personas a los procesos de participacion ciudadana de proteccion y bienestar animal.</t>
  </si>
  <si>
    <t>Realizar 16 Jornadas de Capacitación de Usuarios Finales para el manejo del Sistema de Información.</t>
  </si>
  <si>
    <t>Número de actividades ejecutadas</t>
  </si>
  <si>
    <t>Número de solicitudes presentadas</t>
  </si>
  <si>
    <t>Número de situaciones resueltas</t>
  </si>
  <si>
    <t xml:space="preserve">Novedades incluidas en la Nomina </t>
  </si>
  <si>
    <t>Número de solicitudes de adquisición realizadas</t>
  </si>
  <si>
    <t>Número de PQRSD radicados en el Instituto</t>
  </si>
  <si>
    <t>Informe de gestión del PIC</t>
  </si>
  <si>
    <t>Informe de gestión del Plan de bienestar</t>
  </si>
  <si>
    <t xml:space="preserve">Base de datos  </t>
  </si>
  <si>
    <t>Reporte Mesa de Servicios del Instituto</t>
  </si>
  <si>
    <t>Base de datos de solicitudes de requerimiento realizadas</t>
  </si>
  <si>
    <t>Reporte aplicativo de radicación.</t>
  </si>
  <si>
    <t>Animales identificados y atendidos en situación de maltrato</t>
  </si>
  <si>
    <t>Número de animales atendidos CG</t>
  </si>
  <si>
    <t>Número de animales en custodia del Instituto</t>
  </si>
  <si>
    <t>Hogares de paso Inscritos en el Instituto</t>
  </si>
  <si>
    <t>Número de animales atendidos en BM</t>
  </si>
  <si>
    <t>Programas de comportamiento animal</t>
  </si>
  <si>
    <t>Numero de implantaciones realizadas</t>
  </si>
  <si>
    <t>Numero de implantaciones programadas</t>
  </si>
  <si>
    <t>Censos poblacionales de  palomas en la Plaza de Bolivar</t>
  </si>
  <si>
    <t>Atención de palomas</t>
  </si>
  <si>
    <t>Número de palomas atendidas</t>
  </si>
  <si>
    <t>Número de palomas programadas</t>
  </si>
  <si>
    <t>Número de visitas solicitadas</t>
  </si>
  <si>
    <t>Número de conceptos técnicos realizados</t>
  </si>
  <si>
    <t>Animales esterilizados en hogares 1, 2 y 3</t>
  </si>
  <si>
    <t xml:space="preserve">Número de animales esterilizados </t>
  </si>
  <si>
    <t>Animales en abandono y habitabilidad de la calle atendidos por el programa CES</t>
  </si>
  <si>
    <t xml:space="preserve"> Personas sensibilizadas </t>
  </si>
  <si>
    <t xml:space="preserve">Consejos de protección y bienestar animales locales creados y funcionando </t>
  </si>
  <si>
    <t>Implementar 16 modulos del sistema de información misional</t>
  </si>
  <si>
    <t>Documentos elaborados</t>
  </si>
  <si>
    <t>Documentos programados</t>
  </si>
  <si>
    <t>Número de Documentos de investigación elaborados</t>
  </si>
  <si>
    <t>Número de personas en eventos acádemicos</t>
  </si>
  <si>
    <t>Mapas de riesgos actualizados</t>
  </si>
  <si>
    <t xml:space="preserve">Publicación del Plan Anual Anticorrupción -PAAC </t>
  </si>
  <si>
    <t>Seguimientos realizados</t>
  </si>
  <si>
    <t>Seguimientos programados</t>
  </si>
  <si>
    <t xml:space="preserve">Procedimientos revisados </t>
  </si>
  <si>
    <t>procedimientos programados</t>
  </si>
  <si>
    <t>Actualizaciones realizadas</t>
  </si>
  <si>
    <t>Base de datos</t>
  </si>
  <si>
    <t xml:space="preserve">Informe Plan anual de auditorias </t>
  </si>
  <si>
    <t>seguimiento programado</t>
  </si>
  <si>
    <t>Informe matriz de riesgos</t>
  </si>
  <si>
    <t>Informe planes de mejoramiento</t>
  </si>
  <si>
    <t xml:space="preserve">Base de datos de solicitudes contractuales </t>
  </si>
  <si>
    <t>Personas sensibilizadas ambito educativo</t>
  </si>
  <si>
    <t>Personas sensibilizadas ambito Institucional</t>
  </si>
  <si>
    <t>Personas sensibilizadas ambito recreodeportivo</t>
  </si>
  <si>
    <t>Personas sensibilizadas ambito comunitario</t>
  </si>
  <si>
    <t>Personas integradas a las aulas virtuales</t>
  </si>
  <si>
    <t>Organizaciones nuevas integradas a la red de aliados</t>
  </si>
  <si>
    <t>Personas integradas a procesos de copropiedad</t>
  </si>
  <si>
    <t>Personas en consultas ciudadanas</t>
  </si>
  <si>
    <t>Número Modulos implementados</t>
  </si>
  <si>
    <t>Número Modulos programados</t>
  </si>
  <si>
    <t>Jornadas de capacitación usuarios finales</t>
  </si>
  <si>
    <t>Número Jornadas realizadas</t>
  </si>
  <si>
    <t>Número Jornadas programadas</t>
  </si>
  <si>
    <t>Seguimientos al PAAC</t>
  </si>
  <si>
    <t>Cargues de SEGPLAN</t>
  </si>
  <si>
    <t>Cargues de Producto Meta Resultado -PMR</t>
  </si>
  <si>
    <t>No Piezas diseñadas</t>
  </si>
  <si>
    <t>No piezas solicitadas</t>
  </si>
  <si>
    <t>No campañas solicitadas</t>
  </si>
  <si>
    <t xml:space="preserve">No eventos realizados </t>
  </si>
  <si>
    <t>No eventos solicitados</t>
  </si>
  <si>
    <t>No publicaciones realizadas</t>
  </si>
  <si>
    <t>No publicaciones solicitadas</t>
  </si>
  <si>
    <t>No comunicados y boletines redactados</t>
  </si>
  <si>
    <t>No comunicados y boletines solicitados</t>
  </si>
  <si>
    <t>Número de animales atendidos EA</t>
  </si>
  <si>
    <t>Actas de visita y base de datos</t>
  </si>
  <si>
    <t>Histórias clinícas y Base de datos</t>
  </si>
  <si>
    <t>Formatos de adopción y base de datos</t>
  </si>
  <si>
    <t>Formato de solicitud</t>
  </si>
  <si>
    <t>Historias clinicas y base de datos</t>
  </si>
  <si>
    <t>Listados de asistencia y base de datos</t>
  </si>
  <si>
    <t xml:space="preserve">Formatos y base de datos </t>
  </si>
  <si>
    <t>Actas e Historias clinicas</t>
  </si>
  <si>
    <t>Actas</t>
  </si>
  <si>
    <t xml:space="preserve">Historias clinicas </t>
  </si>
  <si>
    <t>Historia clinica, base de datos y libro de control</t>
  </si>
  <si>
    <t>Concepto Técnico</t>
  </si>
  <si>
    <t>Historia clinica, base de datos</t>
  </si>
  <si>
    <t>Responder y dar tramite con oportunidad al 100% de requerimientos relacionados con trámites de PQRSD radicados en el Instituto</t>
  </si>
  <si>
    <t>Personas formadas en el programa de voluntariado</t>
  </si>
  <si>
    <t>Actas de reunión</t>
  </si>
  <si>
    <t>Lista de asistencia</t>
  </si>
  <si>
    <t>Lista de asitencia y formato conteo masivo</t>
  </si>
  <si>
    <t>Reporte personas inscritas aplicativo</t>
  </si>
  <si>
    <t>Listas de asistencia</t>
  </si>
  <si>
    <t>Base de datos personas consultadas</t>
  </si>
  <si>
    <t>Informes de implementación Sistema de información</t>
  </si>
  <si>
    <t>Lista de asitencia y acta de reunión</t>
  </si>
  <si>
    <t xml:space="preserve">Documentos de investigación </t>
  </si>
  <si>
    <t>Publicación Pagina web</t>
  </si>
  <si>
    <t>Informes de seguimientos página web</t>
  </si>
  <si>
    <t>Reporte SEGPLAN</t>
  </si>
  <si>
    <t xml:space="preserve">Listado Maestro y actas de aprobación </t>
  </si>
  <si>
    <t>Reporte PMR</t>
  </si>
  <si>
    <t>Publicación página web</t>
  </si>
  <si>
    <t>Publicación SECOP</t>
  </si>
  <si>
    <t>No Campañas realizadas</t>
  </si>
  <si>
    <t>No Seguimientos realizados</t>
  </si>
  <si>
    <t>No Seguimientos programados</t>
  </si>
  <si>
    <t xml:space="preserve">Mapas de riesgos por proceso aprobados </t>
  </si>
  <si>
    <t>Base da datos</t>
  </si>
  <si>
    <t>Repoprte estadisticos de redes sociales</t>
  </si>
  <si>
    <t>Informe mensual</t>
  </si>
  <si>
    <t>Base de datos matriz de cumplimiento</t>
  </si>
  <si>
    <t>Numero de actividades programadas en el año</t>
  </si>
  <si>
    <t>Numero de estándares evaluados</t>
  </si>
  <si>
    <t xml:space="preserve">Número de Estándares cumplidos </t>
  </si>
  <si>
    <t>Novedades de nómina presentadas por los servidores públicos</t>
  </si>
  <si>
    <t>Número de requerimientos financieros  presentados</t>
  </si>
  <si>
    <t>Número de requerimientos financieros respondidos</t>
  </si>
  <si>
    <t>Número de procesos contractuales adelantados</t>
  </si>
  <si>
    <t>Número de animales programados para atender por EA</t>
  </si>
  <si>
    <t>Animales identificados y atendidos en situación de maltrato - Comando granja</t>
  </si>
  <si>
    <t>Respuesta con oportunidad de los PQRSD radicados.</t>
  </si>
  <si>
    <t xml:space="preserve">Adquisición de Infraestructura tecnologica </t>
  </si>
  <si>
    <t xml:space="preserve"> Respuesta  y  trámite de los requerimientos solicitados.</t>
  </si>
  <si>
    <t xml:space="preserve">Respuesta a los Requerimientos contractuales </t>
  </si>
  <si>
    <t>Respuesta a las situaciones administrativas</t>
  </si>
  <si>
    <t>Cumplimiento actividades del Programa de bienestar</t>
  </si>
  <si>
    <t>Cumplimiento de las actividades del PIC</t>
  </si>
  <si>
    <t>Respuesta a los requerimientos financieros</t>
  </si>
  <si>
    <t>Implementar el 86% de los estandares minimos de la Resolución 1111 de 2017 Ministerio del Trabajo SGSST</t>
  </si>
  <si>
    <r>
      <t xml:space="preserve"> Cumplimiento de implementación de la norma </t>
    </r>
    <r>
      <rPr>
        <strike/>
        <sz val="12"/>
        <rFont val="Century Gothic"/>
        <family val="2"/>
      </rPr>
      <t xml:space="preserve"> </t>
    </r>
    <r>
      <rPr>
        <sz val="12"/>
        <rFont val="Century Gothic"/>
        <family val="2"/>
      </rPr>
      <t>Resolución 1111 de 2017</t>
    </r>
  </si>
  <si>
    <t>Novedades incluidas en la nómina de los Servidores públicos</t>
  </si>
  <si>
    <t xml:space="preserve">Número de requerimientos contractuales respondidos </t>
  </si>
  <si>
    <t>Numero de requerimientos presentados</t>
  </si>
  <si>
    <t>Porcentaje de  Procesos contractuales adelantados y publicados</t>
  </si>
  <si>
    <t xml:space="preserve">Número de procesos contractuales publicados en SECOP </t>
  </si>
  <si>
    <r>
      <t xml:space="preserve">Número de requerimientos  </t>
    </r>
    <r>
      <rPr>
        <strike/>
        <sz val="12"/>
        <rFont val="Century Gothic"/>
        <family val="2"/>
      </rPr>
      <t xml:space="preserve"> </t>
    </r>
    <r>
      <rPr>
        <sz val="12"/>
        <rFont val="Century Gothic"/>
        <family val="2"/>
      </rPr>
      <t>tecnológicos solucionados</t>
    </r>
  </si>
  <si>
    <r>
      <t xml:space="preserve">Numero de requerimientos tecnológicos </t>
    </r>
    <r>
      <rPr>
        <strike/>
        <sz val="12"/>
        <rFont val="Century Gothic"/>
        <family val="2"/>
      </rPr>
      <t xml:space="preserve"> </t>
    </r>
    <r>
      <rPr>
        <sz val="12"/>
        <rFont val="Century Gothic"/>
        <family val="2"/>
      </rPr>
      <t>presentados</t>
    </r>
  </si>
  <si>
    <t>Número de solicitudes de adquisición  aprobadas</t>
  </si>
  <si>
    <t>Número de PQRSD respondidos oportunamente y en terminos legales</t>
  </si>
  <si>
    <t>Custodiar 700 caninos y felinos</t>
  </si>
  <si>
    <t xml:space="preserve">Entregar 1500 caninos y felinos en adopción </t>
  </si>
  <si>
    <t>Inscribir 110 hogares de paso de caninos y felinos.</t>
  </si>
  <si>
    <t>Realizar 15 Censos Poblacionales en plaza de bolivar</t>
  </si>
  <si>
    <t>Atender el  100% de las Visitas tecnicas de Inspección</t>
  </si>
  <si>
    <t>Número de animales programados para atender por CG</t>
  </si>
  <si>
    <t>Atender 1000 animales identificados en maltrato - Comando Granja</t>
  </si>
  <si>
    <t>Atender 5000 animales identificados en maltrato - Escuadrón Anticrueldad</t>
  </si>
  <si>
    <t>Prestar atención de urgencias a 1000 animales</t>
  </si>
  <si>
    <t>Número de animales atendidos por en urgencias veterinarias</t>
  </si>
  <si>
    <t>Número de animales programados por atender en Urgencias Veterinarias</t>
  </si>
  <si>
    <t xml:space="preserve">Número de animales en custodia  programados </t>
  </si>
  <si>
    <t>Número de animales entregados en adopción</t>
  </si>
  <si>
    <t>Número de animales programados para entregar en adopción</t>
  </si>
  <si>
    <t>Numero de hogares de paso por inscribir  programados</t>
  </si>
  <si>
    <t>Numero de hogares de paso inscritos</t>
  </si>
  <si>
    <t>Número de animales por atender en BM programados</t>
  </si>
  <si>
    <t>Atender 9362 caninos y felinos en brigadas médicas</t>
  </si>
  <si>
    <t>Desarrollar 9 Programas de comportamiento animal y enriquecimiento ambiental</t>
  </si>
  <si>
    <t>Número de programas de comportamiento animal realizados</t>
  </si>
  <si>
    <t>Número de programas de comportamiento animal programados</t>
  </si>
  <si>
    <t>Implantar 152.576 microchips de identificación en caninos y felinos de diferentes localidades</t>
  </si>
  <si>
    <t>Programas de Sinantropicos implementados</t>
  </si>
  <si>
    <t xml:space="preserve">Número de programas para animales sinantrópicos realizados </t>
  </si>
  <si>
    <t>Número de programas para animales sinantrópicos programados</t>
  </si>
  <si>
    <t>Número de censos poblacionales  realizados</t>
  </si>
  <si>
    <t>Número de censos poblacionales  programados</t>
  </si>
  <si>
    <t>Atender  1000 palomas</t>
  </si>
  <si>
    <t>Visitas de Inspección atendidas</t>
  </si>
  <si>
    <t>Número de visitas realizadas</t>
  </si>
  <si>
    <t>Animales silvestres atendidos en el centro de atención</t>
  </si>
  <si>
    <t>Número de animales silvestres atendidos en el CA</t>
  </si>
  <si>
    <t>Numero de animales silvestres ingresados al CA</t>
  </si>
  <si>
    <t xml:space="preserve"> Conceptos técnicos emitidos</t>
  </si>
  <si>
    <t>Número de conceptos técnicos solicitados</t>
  </si>
  <si>
    <t>Esterilizar 83319 animales en hogares 1, 2 y 3.</t>
  </si>
  <si>
    <t>Número de animales programados para esterilizar</t>
  </si>
  <si>
    <t>Número de animales atendidos por  programa CES</t>
  </si>
  <si>
    <t>Número de animales programados por atender por programa  CES</t>
  </si>
  <si>
    <t xml:space="preserve"> Personas por sensibilizar programadas</t>
  </si>
  <si>
    <t>Personas integradas en aulas virtuales</t>
  </si>
  <si>
    <t xml:space="preserve"> Personas por integrar en aulas virtuales  programadas</t>
  </si>
  <si>
    <t>Consejos acompañados y creados</t>
  </si>
  <si>
    <t>Consejos programados para acompañar y crear</t>
  </si>
  <si>
    <t>Participación en consejos locales</t>
  </si>
  <si>
    <t>Número de consejos locales en los que se participó</t>
  </si>
  <si>
    <t>Número de concejos locales por participar programados</t>
  </si>
  <si>
    <t xml:space="preserve">Formar a 1500 personas en el programa Distrital de Voluntariado </t>
  </si>
  <si>
    <t>personas formadas en el programa</t>
  </si>
  <si>
    <t xml:space="preserve">personas programadas por formar en el programa  </t>
  </si>
  <si>
    <t>Número de Organizaciones nuevas integradas</t>
  </si>
  <si>
    <t xml:space="preserve">Número de Organizaciones por integrar programadas </t>
  </si>
  <si>
    <t>Número de personas nuevas integradas</t>
  </si>
  <si>
    <t xml:space="preserve">Número de personas por integrar programadas </t>
  </si>
  <si>
    <t>Número de asistentes a eventos académicos</t>
  </si>
  <si>
    <t>Número de asistentes programados eventos académicos</t>
  </si>
  <si>
    <t xml:space="preserve">Intervenir a 1.100 personas en Consultas Ciudadanas </t>
  </si>
  <si>
    <t>Sensibilizar 7850 personas en ámbito comunitario</t>
  </si>
  <si>
    <t>Sensibilizar 1000 personas en ámbito recreodeportivo</t>
  </si>
  <si>
    <t>Caracterizar 30 organizaciones nuevas a la red de aliados</t>
  </si>
  <si>
    <t>Incluir 269 personas en los eventos académicos que involucren semilleros, redes y procesos académicos</t>
  </si>
  <si>
    <t xml:space="preserve">Número de Mapas  de riesgos actualizados </t>
  </si>
  <si>
    <t>Número de Mapas  de riesgos programados para actualizar</t>
  </si>
  <si>
    <t>Planes publicado</t>
  </si>
  <si>
    <t>Planes para publicar programados</t>
  </si>
  <si>
    <t>Revisar el 80% de los procedimientos aprobados del 2018 y hacer los ajustes necesarios</t>
  </si>
  <si>
    <t>Documentación de calidad actualizada</t>
  </si>
  <si>
    <t xml:space="preserve">Cargues a SEGPLAN realizados </t>
  </si>
  <si>
    <t xml:space="preserve">Cargues a SEGPLAN programados </t>
  </si>
  <si>
    <t xml:space="preserve">Cargues a PMR realizados </t>
  </si>
  <si>
    <t xml:space="preserve">Cargues a PMR programados </t>
  </si>
  <si>
    <t>Realizar el 100% de modificaciones solicitadas por las áreas al Plan Anual de Adquisiciones</t>
  </si>
  <si>
    <t>Actualizaciones del Plan Anual de Adquisiciones -PAA</t>
  </si>
  <si>
    <t>Actualizaciones solicitadas por las áreas</t>
  </si>
  <si>
    <t>Seguimento Plan Operativo Anual-POA</t>
  </si>
  <si>
    <t>Hacer 4 seguimientos al Plan Operativo Anual de la vigencia 2019</t>
  </si>
  <si>
    <t xml:space="preserve">Adelantar y publicar el 100% de los procesos contractuales solicitados </t>
  </si>
  <si>
    <t xml:space="preserve">Dar trámite al 100% de las novedades de nómina presentadas por los servidores publicos </t>
  </si>
  <si>
    <t xml:space="preserve">Requerimientos respondidos  </t>
  </si>
  <si>
    <t>Número de requirimientos atendidos</t>
  </si>
  <si>
    <t>Número de requirimientos presentados</t>
  </si>
  <si>
    <t>Número de actividades con seguimiento</t>
  </si>
  <si>
    <t>Número de actividades programadas para seguimiento</t>
  </si>
  <si>
    <t>Seguimiento a las acciones de la matriz de riesgos</t>
  </si>
  <si>
    <t>Número de seguimientos realizados</t>
  </si>
  <si>
    <t>Seguimiento al plan de mejoramiento</t>
  </si>
  <si>
    <t>Número de seguimientos al plan de mejoramiento</t>
  </si>
  <si>
    <t xml:space="preserve">Número de seguimientos programados </t>
  </si>
  <si>
    <t>Piezas comunicativas diseñadas</t>
  </si>
  <si>
    <t>Campañas publicitarias realizadas</t>
  </si>
  <si>
    <t xml:space="preserve">Eventos cubiertos </t>
  </si>
  <si>
    <t>Publicaciones en redes sociales</t>
  </si>
  <si>
    <t xml:space="preserve">Comunicados y boletines redactados </t>
  </si>
  <si>
    <t>Piezas audiovisuales diseñadas y editadas</t>
  </si>
  <si>
    <t>No piezas audiovisuales diseñadas y editadas</t>
  </si>
  <si>
    <t>No piezas audiovisuales solicitadas</t>
  </si>
  <si>
    <t xml:space="preserve">Publicaciones registradas  de la gestión del Instituto en medios de comunicación </t>
  </si>
  <si>
    <t>No publicaciones registradas</t>
  </si>
  <si>
    <t xml:space="preserve">No publicaciones emitidas </t>
  </si>
  <si>
    <t>Implementación del MIPG</t>
  </si>
  <si>
    <t>No. Actividades del MIPG implementadas</t>
  </si>
  <si>
    <t>No. Actividades del MIPG programadas</t>
  </si>
  <si>
    <t>Plan gerencial</t>
  </si>
  <si>
    <t>5.1</t>
  </si>
  <si>
    <t>7.1</t>
  </si>
  <si>
    <t>8.1</t>
  </si>
  <si>
    <t>9.1</t>
  </si>
  <si>
    <t>10.1</t>
  </si>
  <si>
    <t>10.2</t>
  </si>
  <si>
    <t>11.1</t>
  </si>
  <si>
    <t>11.2</t>
  </si>
  <si>
    <t>12.1</t>
  </si>
  <si>
    <t>12.2</t>
  </si>
  <si>
    <t>13.1</t>
  </si>
  <si>
    <t>13.2</t>
  </si>
  <si>
    <t>13.3</t>
  </si>
  <si>
    <t>13.4</t>
  </si>
  <si>
    <t>13.5</t>
  </si>
  <si>
    <t>14.1</t>
  </si>
  <si>
    <t>14.2</t>
  </si>
  <si>
    <t>15.1</t>
  </si>
  <si>
    <t>15.2</t>
  </si>
  <si>
    <t>16.1</t>
  </si>
  <si>
    <t>16.2</t>
  </si>
  <si>
    <t>17.1</t>
  </si>
  <si>
    <t>17.2</t>
  </si>
  <si>
    <t>17.3</t>
  </si>
  <si>
    <t>17.4</t>
  </si>
  <si>
    <t>18.1</t>
  </si>
  <si>
    <t>19.1</t>
  </si>
  <si>
    <t>19.2</t>
  </si>
  <si>
    <t>20.1</t>
  </si>
  <si>
    <t>20.2</t>
  </si>
  <si>
    <t>20.3</t>
  </si>
  <si>
    <t>Módulos del Sistema de información Misional</t>
  </si>
  <si>
    <t>Realizar el 100% de las actividades del Plan Anual de Auditorias aprobado por el Comité Institucional de Coordinación de Control Interno</t>
  </si>
  <si>
    <t>Desarrollo del Plan Anual de Auditorias</t>
  </si>
  <si>
    <t>Proteger la vida y trato hacia los animales, a través de acciones de protección y control poblacional digno</t>
  </si>
  <si>
    <t>Generar procesos ciudadanos de transformación cultural, comunicando y promoviendo prácticas de relacionamiento humano – animal.</t>
  </si>
  <si>
    <t>Desarrollar herramientas técnicas pertinentes, dinámicas y confiables, a través del manejo y gestión de conocimiento, que apoye una toma de decisiones y una rendición cuentas transparente.</t>
  </si>
  <si>
    <t>Integrar las herramientas de planeación, gestión y control, mediante un enfoque basado en el Modelo de Planeación y Gestión -MIPG-</t>
  </si>
  <si>
    <t>Asegurar la gestión de recursos, a través de una estructura sostenible de recursos púlicos y de cooperación, que facilite el soporte financiero para el cumplimiento de los objetivos y metas de la entidad</t>
  </si>
  <si>
    <t>Desarrollar procesos de difusión y acercamiento ciudadano a la entidad, a través de la participación y acceso transparente a la gestión institucional.</t>
  </si>
  <si>
    <t>Adelantar el 100% de las actividades reacionadas con la política de "Gestión Estratégica del Talento Humano"</t>
  </si>
  <si>
    <t>Adelantar el 100% de las actividades reacionadas con la política de "SEGUIMIENTO Y EVALUACION DEL DESEMPEÑO INSTITUCIONAL"</t>
  </si>
  <si>
    <t>Adelantar el 100% de las actividades reacionadas con la política de "GESTION PRESUPUESTAL Y EFICIENCIA DEL GASTO PÚBLICO"</t>
  </si>
  <si>
    <t>Adelantar el 100% de las actividades reacionadas con la política de "GOBIERNO DIGITAL"</t>
  </si>
  <si>
    <t>Adelantar el 100% de las actividades reacionadas con la política de "SEGURIDAD DIGITAL"</t>
  </si>
  <si>
    <t>Adelantar el 100% de las actividades reacionadas con la política de "DEFENSA JURIDICA"</t>
  </si>
  <si>
    <t>Adelantar el 100% de las actividades reacionadas con la política de "PARTICIPACION CIUDADANA EN LA GESTION PUBLICA"</t>
  </si>
  <si>
    <t>Adelantar el 100% de las actividades reacionadas con la política de "RACIONALIZACION DE TRAMITES"</t>
  </si>
  <si>
    <t>Adelantar el 100% de las actividades reacionadas con la política de "SERVICIO AL CIUDADANO"</t>
  </si>
  <si>
    <t>Adelantar el 100% de las actividades reacionadas con la política de "GESTION DOCUMENTAL"</t>
  </si>
  <si>
    <t>Hacer seguimiento al Plan de Adecuación y sostenibilidad SIG-MIPG</t>
  </si>
  <si>
    <t>1.8</t>
  </si>
  <si>
    <t>1.9</t>
  </si>
  <si>
    <t>1.10</t>
  </si>
  <si>
    <t>1.11</t>
  </si>
  <si>
    <t>4.4</t>
  </si>
  <si>
    <t>4.3</t>
  </si>
  <si>
    <t>4.5</t>
  </si>
  <si>
    <t>4.6</t>
  </si>
  <si>
    <t>Contruir y ejecutar el 100% de las acciones del Plan Estratégico de Tecnoloías de la Información</t>
  </si>
  <si>
    <t>Contruir y ejecutar el 100% de las acciones del Plan de Tratamiento de Riesgos de seguridda y provacidad d ela información</t>
  </si>
  <si>
    <t>Contruir y ejecutar el 100% de las acciones del Plan de seguriddad y provacidad d ela información</t>
  </si>
  <si>
    <t>5.2</t>
  </si>
  <si>
    <t>5.3</t>
  </si>
  <si>
    <t>5.4</t>
  </si>
  <si>
    <t>Atender el 100% de los requerimientos técnicos solicitados por instancias internas y externas.    ARCHIVO</t>
  </si>
  <si>
    <t>Atender el 100% de los requerimientos técnicos solicitados por instancias internas y externas.  SERVICIO AL CIUDADANO</t>
  </si>
  <si>
    <t>7.2</t>
  </si>
  <si>
    <t>7.3</t>
  </si>
  <si>
    <t>7.4</t>
  </si>
  <si>
    <t>7.5</t>
  </si>
  <si>
    <t>7.7</t>
  </si>
  <si>
    <t>10.3</t>
  </si>
  <si>
    <t>10.4</t>
  </si>
  <si>
    <t>14.3</t>
  </si>
  <si>
    <t>14.4</t>
  </si>
  <si>
    <t>14.5</t>
  </si>
  <si>
    <t>14.6</t>
  </si>
  <si>
    <t>18.2</t>
  </si>
  <si>
    <t>18.3</t>
  </si>
  <si>
    <t>18.4</t>
  </si>
  <si>
    <t>18.5</t>
  </si>
  <si>
    <t>21.1</t>
  </si>
  <si>
    <t>21.2</t>
  </si>
  <si>
    <t>21.3</t>
  </si>
  <si>
    <t>21.4</t>
  </si>
  <si>
    <t>21.5</t>
  </si>
  <si>
    <t>21.6</t>
  </si>
  <si>
    <t>21.7</t>
  </si>
  <si>
    <t>7.6</t>
  </si>
  <si>
    <t>Garantizar la participación a 10,800 personas en estrategias de sensibilizacion, formacion y educacion en los mabitos educativo, recreo deportivo, institucional y comunitario.</t>
  </si>
  <si>
    <t>Hacer 4 seguimientos al Plan de Adecuación y sostenibilidad SIG-MIPG</t>
  </si>
  <si>
    <t>Implementar el 100% del Plan Estratégico de Recursos Humanos</t>
  </si>
  <si>
    <t>Ejecutar  el 100% del Plan de previsión de Recursos Humanos</t>
  </si>
  <si>
    <t>Implementar el 100% del Plan Anual de Vacantes</t>
  </si>
  <si>
    <t>Sensibilizar 750 personas en ámbito educativo en instituciones</t>
  </si>
  <si>
    <t>Sensibilizar 200 personas en ámbito institucional</t>
  </si>
  <si>
    <t>Responder y dar tramiteen los terminos de ley al 100% de requerimientos relacionados con trámites de PQRSD radicados en el Instituto</t>
  </si>
  <si>
    <t>Ejecutar el 100% del Presupuesto de la Entidad</t>
  </si>
  <si>
    <t>Ejecutar el 100% del Presupuesto de Funcionamiento</t>
  </si>
  <si>
    <t>Ejecutar el 100% del Presupuesto de Inversion</t>
  </si>
  <si>
    <t>Girar el 90%  del presupuesto total de la entidad</t>
  </si>
  <si>
    <t>Pagar el 100% de la reserva constituida a 31/12/2018</t>
  </si>
  <si>
    <t>Implementar el 86% de los estandares minimos de la Resolución 0312 de 2019 Ministerio del Trabajo SGSST</t>
  </si>
  <si>
    <t xml:space="preserve">Implementar el 100% de los procesos transversales de apoyo para garantizar el óptimo funcionamiento del Instituto.        </t>
  </si>
  <si>
    <t xml:space="preserve">Atender el 100% de los requerimientos técnicos, jurídicos, contractuales y disciplinarios solicitados por instancias internas y externas.             </t>
  </si>
  <si>
    <t>Durante el mes de febrero se realziaron tres capacitaciones en temas relacionados con: Presentaciones efectivas, Redaccion, ortografia y gramatica y Servidores de animales.</t>
  </si>
  <si>
    <t>Se ejecutaron 10 de las 25 actividades programadas</t>
  </si>
  <si>
    <t>Mantener en un 3% la tasa de accidentalidad  de la entidad</t>
  </si>
  <si>
    <t>META PROYECTO</t>
  </si>
  <si>
    <t>Tasa de accidentalidad</t>
  </si>
  <si>
    <t>Informe de seguridad y salud en el trabajp</t>
  </si>
  <si>
    <t>No trabajdaores de la entidad</t>
  </si>
  <si>
    <t>No accidentes reportados</t>
  </si>
  <si>
    <t>Cumplimiento del Programa de seguridad y salud</t>
  </si>
  <si>
    <t>No actividades realizadas</t>
  </si>
  <si>
    <t>No actividades programadas</t>
  </si>
  <si>
    <t>Ejecucion del presupuesto total</t>
  </si>
  <si>
    <t>Informe PREDIS</t>
  </si>
  <si>
    <t>Presupuesto apropiado</t>
  </si>
  <si>
    <t>Ejecución de Giros presupuestales</t>
  </si>
  <si>
    <t>Presupuesto girado</t>
  </si>
  <si>
    <t>Ejecucion del presupuesto de inversion</t>
  </si>
  <si>
    <t>Ejecucion del presupuestode funcionamiento</t>
  </si>
  <si>
    <t>Valor girado</t>
  </si>
  <si>
    <t>Valor programado</t>
  </si>
  <si>
    <t>Ejecucion del PAC</t>
  </si>
  <si>
    <t>Ejecucion de las reservas</t>
  </si>
  <si>
    <t>Lograr un 100% de  satisfacción de los usuarios frente al trato amable recibido.</t>
  </si>
  <si>
    <t>Peticiones, quejas o reclamos radicados en la entidad</t>
  </si>
  <si>
    <t xml:space="preserve">Peticiones, Quejas o reclamos gestonados dentro de los terminos de ley </t>
  </si>
  <si>
    <t>Peticiones, quejas o reclamos gestionadas dentro de los terminos de ley</t>
  </si>
  <si>
    <t>Informe de Atencion al ciudadano</t>
  </si>
  <si>
    <t>Total de usuarios encuestados</t>
  </si>
  <si>
    <t xml:space="preserve">Numero de usuarios que manifiestan que afirmativo la siguiente pregunta ¿Recibió un trato amable de la persona que lo atendió? </t>
  </si>
  <si>
    <t>Satisfaccion de los usuarios</t>
  </si>
  <si>
    <t>Realizar 1 publicación del Plan Anual Anticorrupción y Atención al Ciudadano PAAC para la vigencia</t>
  </si>
  <si>
    <t>Atender el 100% de cada uno de los requerimientos de solución tecnologica solicitados por cada dependencia</t>
  </si>
  <si>
    <t>NA</t>
  </si>
  <si>
    <t>Sensibilizar 3,000 personas en ámbito recreodeportivo</t>
  </si>
  <si>
    <t>Sensibilizar 11,550 personas en ámbito comunitario</t>
  </si>
  <si>
    <t>Caracterizar 80 organizaciones nuevas a la red de aliados</t>
  </si>
  <si>
    <t>Presupuesto ejecutado</t>
  </si>
  <si>
    <t>Desarrollar 25 acciones programadas del Plan Institucional de Capacitación PIC</t>
  </si>
  <si>
    <t>Ejecutar 17 actividades del  programa de bienestar social e incentivos</t>
  </si>
  <si>
    <t xml:space="preserve">Ejecutar las 63 actividades del Plan anual de seguridad y salud en el trabajo </t>
  </si>
  <si>
    <t xml:space="preserve">Realizar 3  seguimientos de los mapas de riesgos de los procesos </t>
  </si>
  <si>
    <t>PROCESO</t>
  </si>
  <si>
    <t>PE02
Talento Humano</t>
  </si>
  <si>
    <t>PA05
Gestión Financiera</t>
  </si>
  <si>
    <t>PA04
Gestión Tecnológica</t>
  </si>
  <si>
    <t>PA01
Atención al Ciudadano</t>
  </si>
  <si>
    <t>Contratar  el 100% de  los requerimientos contractuales establecidos en el Plan Anual de adquisiciones</t>
  </si>
  <si>
    <t xml:space="preserve">Requerimientos contractuales </t>
  </si>
  <si>
    <t xml:space="preserve">Recursos de Requerimientos contractuales </t>
  </si>
  <si>
    <t>Recursos de Requerimientos programados</t>
  </si>
  <si>
    <t>Ejecutar $18.291.278.644 del Plan anual de Caja de la vigencia</t>
  </si>
  <si>
    <t>% Avance por proceso</t>
  </si>
  <si>
    <t>Valor Total Reservas</t>
  </si>
  <si>
    <t>% AVANCE PROCESO</t>
  </si>
  <si>
    <t xml:space="preserve"> Diseñar e implementar 1 plataforma estrategica del Instituto</t>
  </si>
  <si>
    <t xml:space="preserve">Diseñar e implementar un sistema integrado de gestión </t>
  </si>
  <si>
    <t>Gestión de comunicaciones</t>
  </si>
  <si>
    <t>6.2</t>
  </si>
  <si>
    <t>6.3</t>
  </si>
  <si>
    <t>6.4</t>
  </si>
  <si>
    <t>8.2</t>
  </si>
  <si>
    <t>12.3</t>
  </si>
  <si>
    <t>12.4</t>
  </si>
  <si>
    <t>Desarrollar 1 porgrama para animales silvestres</t>
  </si>
  <si>
    <t>Programa de animales silvestres</t>
  </si>
  <si>
    <t xml:space="preserve">Número de programas para animales silvestres realizados </t>
  </si>
  <si>
    <t>Número de programas para animales silvestres programados</t>
  </si>
  <si>
    <t xml:space="preserve">Responder el 100% de  los requerimientos Defensa Judicial solicitados a la entidad en términos legales. </t>
  </si>
  <si>
    <t xml:space="preserve">Responder el 100% de  los requerimientos Normativos solicitados a la entidad en términos legales. </t>
  </si>
  <si>
    <t xml:space="preserve">Responder el 100% de  los requerimientos Penalesl solicitados a la entidad en términos legales. </t>
  </si>
  <si>
    <t>Garantizar la participación a 16500 personas en estrategias de sensibilizacion, formacion y educacion en los mabitos educativo, recreo deportivo, institucional y comunitario.</t>
  </si>
  <si>
    <t>Plan de adecuación y seguimiento al SIG-MIPG</t>
  </si>
  <si>
    <t>8.3</t>
  </si>
  <si>
    <r>
      <t xml:space="preserve"> Cumplimiento de implementación de la norma </t>
    </r>
    <r>
      <rPr>
        <strike/>
        <sz val="12"/>
        <rFont val="Arial"/>
        <family val="2"/>
      </rPr>
      <t xml:space="preserve"> </t>
    </r>
    <r>
      <rPr>
        <sz val="12"/>
        <rFont val="Arial"/>
        <family val="2"/>
      </rPr>
      <t>Resolución 1111 de 2017</t>
    </r>
  </si>
  <si>
    <r>
      <t xml:space="preserve">Número de requerimientos  </t>
    </r>
    <r>
      <rPr>
        <strike/>
        <sz val="12"/>
        <rFont val="Arial"/>
        <family val="2"/>
      </rPr>
      <t xml:space="preserve"> </t>
    </r>
    <r>
      <rPr>
        <sz val="12"/>
        <rFont val="Arial"/>
        <family val="2"/>
      </rPr>
      <t>tecnológicos solucionados</t>
    </r>
  </si>
  <si>
    <r>
      <t xml:space="preserve">Numero de requerimientos tecnológicos </t>
    </r>
    <r>
      <rPr>
        <strike/>
        <sz val="12"/>
        <rFont val="Arial"/>
        <family val="2"/>
      </rPr>
      <t xml:space="preserve"> </t>
    </r>
    <r>
      <rPr>
        <sz val="12"/>
        <rFont val="Arial"/>
        <family val="2"/>
      </rPr>
      <t>presentados</t>
    </r>
  </si>
  <si>
    <t>Proceso</t>
  </si>
  <si>
    <t>% Cumplimiento Trimestre I</t>
  </si>
  <si>
    <t>Espacios de diálogo programados</t>
  </si>
  <si>
    <t>Espacios de diálogo desarrollados</t>
  </si>
  <si>
    <t xml:space="preserve">Espacios de diálogo </t>
  </si>
  <si>
    <t>Instruir a 100 consejeros locales , en temas de protección y bienestar animal.</t>
  </si>
  <si>
    <t>Consejeros locales instruidos en temas de protección y bienestar animal</t>
  </si>
  <si>
    <t>Consejeros locales programados para instruir en temas de protección y bienestar animal</t>
  </si>
  <si>
    <t>Consejero locales Instruidos</t>
  </si>
  <si>
    <t>Promover  la participacion de 238 personas en  especios de dialogo</t>
  </si>
  <si>
    <t xml:space="preserve">Incluir a 1100 personas en Consultas Ciudadanas </t>
  </si>
  <si>
    <t>6.5</t>
  </si>
  <si>
    <t>10.5</t>
  </si>
  <si>
    <t>10.6</t>
  </si>
  <si>
    <t>10.7</t>
  </si>
  <si>
    <t>14.14</t>
  </si>
  <si>
    <t>Salud Integral de la fauna</t>
  </si>
  <si>
    <t>Gestión del conocimiento Asociado a la PYBA</t>
  </si>
  <si>
    <t>CUMPLIMIENTO I TRIMESTRE</t>
  </si>
  <si>
    <t>Protección ante la Crueldad animal</t>
  </si>
  <si>
    <t>Gestión del Conocimiento</t>
  </si>
  <si>
    <t>Integrar 60 personas de la red de aliados a los escenarios de participacion</t>
  </si>
  <si>
    <t>Personas de red de aliados integrados en participación</t>
  </si>
  <si>
    <t>Número de personas de la red de aliados integrados a espacioos de participación</t>
  </si>
  <si>
    <t>Número de personas de la red de aliados integrados a espacios de participación programadas</t>
  </si>
  <si>
    <t>17.5</t>
  </si>
  <si>
    <t>18.6</t>
  </si>
  <si>
    <t>18.7</t>
  </si>
  <si>
    <t>18.8</t>
  </si>
  <si>
    <t>18.9</t>
  </si>
  <si>
    <t>INFORME DE CUMPLIMIENTO PRIMER TRIMESTRE DEL PLAN OPERATIVO ANUAL</t>
  </si>
  <si>
    <t>Durante el segundo trimestre se realizaron 4 eventos de bienestar: Celebracion dia de la secretaria, Celebracion dia del veterinario, Bonos parque de atracciones y Cine, Inscripcion y participacion en los Juegos deportivos distritales</t>
  </si>
  <si>
    <t>Durante el primer trimestre se realizaron 2 eventos de bienestar: Curso de pintura  en el mes de febrero con 18 participantes y Dia de ma muker en el mes de marzo con la partiicpacion de 100 mujeres a las cuales de les entragaron obsequios y recordatroios</t>
  </si>
  <si>
    <t>Durante el segundo trimestre del año 2019, se reportaron tres accidentes de trabajos, reportando una tasa de accidentalidad del 1%</t>
  </si>
  <si>
    <t>Durante el primer trimestre del año 2019, se reportaron tres accidentes de trabajo en el mes de febrero por arañazos y mordeduras, reportandouna tasa de accidentalidad del 1,3%</t>
  </si>
  <si>
    <t>Durante el segundo trimestre se ejecutaron las siguientes actividades correspondientes al Programa de seguridad y salud en el trabajo : 1. Se defininio el plan anual de capacitacion en SST, 2. Se socializo roles y responsabilidades, 3. Elaboracion plan de mejora, 4. Seguimiento al COPASST, 5. Seguimiento al COPASST, 6. Seguimiento a indicadores, 7. Seguimiento al COPASST, 8. Seguimiento comite convivencia laboral</t>
  </si>
  <si>
    <t>Durante el primer trimestre el resultado alcanzado de la evaluacion de los estandares minimos de la Resolución 0312 de 2019 Ministerio del Trabajo SGSST correspondio al 76,5 con la siguinte desagregacion : 1, Recursos (10%) Calificacion 0,5, 2, Gestion integral del sistema de la seguridad y salud en el trabajo (15%), calificacion 11, 3, Gestion de la salud (20%), calificacion 20, 4, Gestion de peligros y riesgos (30%) calificacion 30, 5, Gestion de amenazas (10%) calificacion 10, 6, Verificacion  del sistema de gestion de seguridad y salud en el trabajo (5%), calificacion 5, 7, Mejoramiento (10%) calificacion 0. Total 76,5</t>
  </si>
  <si>
    <t>Durante el segundo trimestre el resultado alcanzado de la evaluacion de los estandares minimos de la Resolución 0312 de 2019 Ministerio del Trabajo SGSST correspondio al 80% con la siguinte desagregacion : Identificacion de peligros, evaluacion y valoracion de los riesgos, gestionando la realización de la medicion ambiental por ruido en la Unidad de Cuidado Animal la cual se realizara en el mes de Julio de 2019</t>
  </si>
  <si>
    <t>Durante el segundo trimestre se recibieron 2652 peticiones, quejas o reclamos para ser  gestionados por las diferentes áreas del Instituto para su respuesta en cumplimiento a los términos de Ley, de las cuales quedaron por fuera del tiempo establecido por ley 24.</t>
  </si>
  <si>
    <t>Durante el primer trimestre se recibieron 2306 peticiones, quejas o reclamos para ser  gestionados por las diferentes áreas del Instituto para su respuesta en cumplimiento a los términos de Ley, de las cuales quedaron pendiente por respuesta 46.</t>
  </si>
  <si>
    <t>La entidad en el segundo trimestre del año 2019, encuesto 153 usuarios con la pregunta ¿Recibió un trato amable de la persona que lo atendió? , de lo cual 148 usuarios respondieron de manera afirmativa a la pregunta, generando un nivel de satisfacción del 97%; de igual forma se encuestaron 153 usuarios con la pregunta ¿El servicio prestado en el instituto resolvió sus dudas, inquietudes o necesidades? de lo cual 126 usuarios respondieron afirmativa a la pregunta, generando un nivel de satisfaccion del 82%.</t>
  </si>
  <si>
    <t>La entidad en el primer trimestre del año 2019, encuesto 115 usuarios con la pregunta ¿Recibió un trato amable de la persona que lo atendió? , de lo cual 114 usuarios respondieron de manera afirmativa a la pregunta, generando un nivel de satisfacción del 99,1%; de igual forma se encuestaron 115 usuarios con la pregunta ¿El servicio prestado en el instituto resolvió sus dudas, inquietudes o necesidades? de lo cual 114 usuarios respondieron afirmativa a la pregunta, generando un nivel de satisfaccion del 99,1%.</t>
  </si>
  <si>
    <t>CUMPLIMIENTO II TRIMESTRE</t>
  </si>
  <si>
    <t>% Cumplimiento Trimestre II</t>
  </si>
  <si>
    <t>TOTAL TRIMESTRE</t>
  </si>
  <si>
    <t>Sensibilizar 2900 personas en ámbito educativo en instituciones</t>
  </si>
  <si>
    <t>Sensibilizar 960 personas en ámbito institucional</t>
  </si>
  <si>
    <t>Sensibilizar 2860 personas en ámbito recreodeportivo</t>
  </si>
  <si>
    <t>Sensibilizar 14290 personas en ámbito comunitario</t>
  </si>
  <si>
    <t>Diseñar e implementar el 0,70 de un sistema de información que de alcance a las necesidades del Instituto de Protección y Bienestar Animal</t>
  </si>
  <si>
    <t>Custodiar 4953 caninos y felinos</t>
  </si>
  <si>
    <t xml:space="preserve">Entregar 986 caninos y felinos en adopción </t>
  </si>
  <si>
    <t>Atender 4914 caninos y felinos en brigadas médicas</t>
  </si>
  <si>
    <t>Atender 4444 animales identificados en maltrato (Escuadrón Anticrueldad y comando granja)</t>
  </si>
  <si>
    <t>Prestar atención de urgencias a 1765 animales</t>
  </si>
  <si>
    <t>Realizar 63 Censos Poblacionales en plaza de bolivar</t>
  </si>
  <si>
    <t xml:space="preserve">Capturar, esterilizar y soltar 5796 caninos y felinos abandonados en habitabilidad en calle a través de brigadas. </t>
  </si>
  <si>
    <r>
      <t>Capturar, esterilizar y soltar</t>
    </r>
    <r>
      <rPr>
        <b/>
        <u/>
        <sz val="12"/>
        <color rgb="FFFF0000"/>
        <rFont val="Calibri Light"/>
        <family val="2"/>
      </rPr>
      <t xml:space="preserve"> </t>
    </r>
    <r>
      <rPr>
        <sz val="12"/>
        <rFont val="Calibri Light"/>
        <family val="2"/>
      </rPr>
      <t>5796 animales en abandono y en habitabilidad de calle.</t>
    </r>
  </si>
  <si>
    <t>Capturar, esterilizar y soltar 5796 animales en abandono y en habitabilidad de calle.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</si>
</sst>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quot;$&quot;\ * #,##0_-;\-&quot;$&quot;\ * #,##0_-;_-&quot;$&quot;\ * &quot;-&quot;_-;_-@_-"/>
    <numFmt numFmtId="165" formatCode="_ * #,##0.00_ ;_ * \-#,##0.00_ ;_ * \-??_ ;_ @_ "/>
    <numFmt numFmtId="166" formatCode="_ [$€-2]\ * #,##0.00_ ;_ [$€-2]\ * \-#,##0.00_ ;_ [$€-2]\ * \-??_ "/>
    <numFmt numFmtId="167" formatCode="_ &quot;$ &quot;* #,##0.00_ ;_ &quot;$ &quot;* \-#,##0.00_ ;_ &quot;$ &quot;* \-??_ ;_ @_ "/>
    <numFmt numFmtId="168" formatCode="_ &quot;$ &quot;* #,##0_ ;_ &quot;$ &quot;* \-#,##0_ ;_ &quot;$ &quot;* \-??_ ;_ @_ "/>
    <numFmt numFmtId="169" formatCode="0.0"/>
    <numFmt numFmtId="170" formatCode="0.0%"/>
    <numFmt numFmtId="171" formatCode="0.00000"/>
  </numFmts>
  <fonts count="45" x14ac:knownFonts="1">
    <font>
      <sz val="12"/>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name val="Calibri Light"/>
      <family val="2"/>
    </font>
    <font>
      <b/>
      <sz val="10"/>
      <name val="Calibri Light"/>
      <family val="2"/>
    </font>
    <font>
      <sz val="12"/>
      <color theme="1"/>
      <name val="Calibri Light"/>
      <family val="2"/>
    </font>
    <font>
      <b/>
      <sz val="8"/>
      <name val="Calibri Light"/>
      <family val="2"/>
    </font>
    <font>
      <b/>
      <sz val="15"/>
      <name val="Calibri Light"/>
      <family val="2"/>
    </font>
    <font>
      <sz val="9"/>
      <name val="Calibri Light"/>
      <family val="2"/>
    </font>
    <font>
      <sz val="8"/>
      <name val="Calibri Light"/>
      <family val="2"/>
    </font>
    <font>
      <sz val="6"/>
      <name val="Calibri Light"/>
      <family val="2"/>
    </font>
    <font>
      <sz val="9"/>
      <color rgb="FFFF0000"/>
      <name val="Calibri Light"/>
      <family val="2"/>
    </font>
    <font>
      <sz val="10"/>
      <color rgb="FFFF0000"/>
      <name val="Calibri Light"/>
      <family val="2"/>
    </font>
    <font>
      <sz val="5"/>
      <name val="Calibri Light"/>
      <family val="2"/>
    </font>
    <font>
      <sz val="12"/>
      <name val="Calibri Light"/>
      <family val="2"/>
    </font>
    <font>
      <b/>
      <sz val="12"/>
      <name val="Calibri Light"/>
      <family val="2"/>
    </font>
    <font>
      <sz val="12"/>
      <color rgb="FFFF0000"/>
      <name val="Calibri Light"/>
      <family val="2"/>
    </font>
    <font>
      <sz val="12"/>
      <name val="Century Gothic"/>
      <family val="2"/>
    </font>
    <font>
      <b/>
      <sz val="12"/>
      <name val="Century Gothic"/>
      <family val="2"/>
    </font>
    <font>
      <strike/>
      <sz val="12"/>
      <name val="Century Gothic"/>
      <family val="2"/>
    </font>
    <font>
      <sz val="12"/>
      <color theme="1"/>
      <name val="Century Gothic"/>
      <family val="2"/>
    </font>
    <font>
      <b/>
      <sz val="9"/>
      <color indexed="81"/>
      <name val="Tahoma"/>
      <family val="2"/>
    </font>
    <font>
      <sz val="9"/>
      <color indexed="81"/>
      <name val="Tahoma"/>
      <family val="2"/>
    </font>
    <font>
      <sz val="12"/>
      <name val="Arial"/>
      <family val="2"/>
    </font>
    <font>
      <sz val="12"/>
      <color theme="1"/>
      <name val="Arial"/>
      <family val="2"/>
    </font>
    <font>
      <strike/>
      <sz val="12"/>
      <name val="Arial"/>
      <family val="2"/>
    </font>
    <font>
      <b/>
      <sz val="12"/>
      <color theme="1"/>
      <name val="Calibri"/>
      <family val="2"/>
      <scheme val="minor"/>
    </font>
    <font>
      <b/>
      <sz val="18"/>
      <color theme="1"/>
      <name val="Arial"/>
      <family val="2"/>
    </font>
    <font>
      <sz val="16"/>
      <color theme="1"/>
      <name val="Arial"/>
      <family val="2"/>
    </font>
    <font>
      <sz val="16"/>
      <color theme="1"/>
      <name val="Calibri"/>
      <family val="2"/>
      <scheme val="minor"/>
    </font>
    <font>
      <b/>
      <sz val="20"/>
      <color theme="1"/>
      <name val="Calibri"/>
      <family val="2"/>
      <scheme val="minor"/>
    </font>
    <font>
      <b/>
      <u/>
      <sz val="12"/>
      <color rgb="FFFF0000"/>
      <name val="Calibri Light"/>
      <family val="2"/>
    </font>
  </fonts>
  <fills count="1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rgb="FFFF0000"/>
        <bgColor indexed="64"/>
      </patternFill>
    </fill>
    <fill>
      <patternFill patternType="solid">
        <fgColor theme="1" tint="0.14999847407452621"/>
        <bgColor indexed="64"/>
      </patternFill>
    </fill>
  </fills>
  <borders count="101">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diagonal/>
    </border>
    <border>
      <left style="thin">
        <color auto="1"/>
      </left>
      <right/>
      <top/>
      <bottom/>
      <diagonal/>
    </border>
    <border>
      <left style="medium">
        <color auto="1"/>
      </left>
      <right/>
      <top/>
      <bottom style="thin">
        <color auto="1"/>
      </bottom>
      <diagonal/>
    </border>
    <border>
      <left style="thin">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right/>
      <top/>
      <bottom style="thin">
        <color auto="1"/>
      </bottom>
      <diagonal/>
    </border>
    <border>
      <left/>
      <right style="medium">
        <color auto="1"/>
      </right>
      <top/>
      <bottom style="thin">
        <color auto="1"/>
      </bottom>
      <diagonal/>
    </border>
    <border>
      <left style="thin">
        <color auto="1"/>
      </left>
      <right style="thin">
        <color auto="1"/>
      </right>
      <top/>
      <bottom style="medium">
        <color auto="1"/>
      </bottom>
      <diagonal/>
    </border>
    <border>
      <left style="medium">
        <color indexed="8"/>
      </left>
      <right/>
      <top style="medium">
        <color indexed="8"/>
      </top>
      <bottom/>
      <diagonal/>
    </border>
    <border>
      <left style="medium">
        <color indexed="8"/>
      </left>
      <right/>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bottom style="medium">
        <color indexed="64"/>
      </bottom>
      <diagonal/>
    </border>
    <border>
      <left style="thin">
        <color auto="1"/>
      </left>
      <right style="thin">
        <color auto="1"/>
      </right>
      <top style="medium">
        <color auto="1"/>
      </top>
      <bottom/>
      <diagonal/>
    </border>
    <border>
      <left style="medium">
        <color indexed="64"/>
      </left>
      <right style="medium">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medium">
        <color auto="1"/>
      </right>
      <top style="medium">
        <color indexed="64"/>
      </top>
      <bottom/>
      <diagonal/>
    </border>
    <border>
      <left style="medium">
        <color auto="1"/>
      </left>
      <right style="thin">
        <color auto="1"/>
      </right>
      <top style="medium">
        <color auto="1"/>
      </top>
      <bottom/>
      <diagonal/>
    </border>
    <border>
      <left style="medium">
        <color auto="1"/>
      </left>
      <right style="medium">
        <color auto="1"/>
      </right>
      <top style="thin">
        <color auto="1"/>
      </top>
      <bottom/>
      <diagonal/>
    </border>
    <border>
      <left style="thin">
        <color auto="1"/>
      </left>
      <right style="thin">
        <color auto="1"/>
      </right>
      <top style="medium">
        <color indexed="64"/>
      </top>
      <bottom style="thin">
        <color auto="1"/>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right style="medium">
        <color auto="1"/>
      </right>
      <top style="medium">
        <color indexed="64"/>
      </top>
      <bottom style="thin">
        <color auto="1"/>
      </bottom>
      <diagonal/>
    </border>
    <border>
      <left style="thin">
        <color auto="1"/>
      </left>
      <right/>
      <top style="medium">
        <color indexed="64"/>
      </top>
      <bottom style="thin">
        <color auto="1"/>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medium">
        <color indexed="64"/>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right style="thin">
        <color auto="1"/>
      </right>
      <top style="thin">
        <color auto="1"/>
      </top>
      <bottom/>
      <diagonal/>
    </border>
    <border>
      <left style="thin">
        <color auto="1"/>
      </left>
      <right/>
      <top style="thin">
        <color auto="1"/>
      </top>
      <bottom/>
      <diagonal/>
    </border>
    <border>
      <left style="medium">
        <color indexed="64"/>
      </left>
      <right/>
      <top/>
      <bottom/>
      <diagonal/>
    </border>
    <border>
      <left style="medium">
        <color indexed="64"/>
      </left>
      <right style="medium">
        <color indexed="64"/>
      </right>
      <top/>
      <bottom style="thin">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right/>
      <top style="medium">
        <color indexed="64"/>
      </top>
      <bottom style="medium">
        <color indexed="64"/>
      </bottom>
      <diagonal/>
    </border>
    <border>
      <left style="medium">
        <color auto="1"/>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diagonal/>
    </border>
    <border>
      <left style="medium">
        <color auto="1"/>
      </left>
      <right/>
      <top style="medium">
        <color auto="1"/>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bottom style="medium">
        <color indexed="64"/>
      </bottom>
      <diagonal/>
    </border>
  </borders>
  <cellStyleXfs count="39">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165" fontId="2" fillId="0" borderId="0" applyFill="0" applyBorder="0" applyAlignment="0" applyProtection="0"/>
    <xf numFmtId="9" fontId="2" fillId="0" borderId="0" applyFill="0" applyBorder="0" applyAlignment="0" applyProtection="0"/>
    <xf numFmtId="166" fontId="2" fillId="0" borderId="0" applyFill="0" applyBorder="0" applyAlignment="0" applyProtection="0"/>
    <xf numFmtId="167" fontId="2" fillId="0" borderId="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2013">
    <xf numFmtId="0" fontId="0" fillId="0" borderId="0" xfId="0"/>
    <xf numFmtId="0" fontId="7" fillId="0" borderId="31" xfId="20" applyFont="1" applyBorder="1" applyAlignment="1">
      <alignment horizontal="center" vertical="center" wrapText="1"/>
    </xf>
    <xf numFmtId="9" fontId="2" fillId="0" borderId="31" xfId="22" applyBorder="1" applyAlignment="1">
      <alignment horizontal="center" vertical="center" wrapText="1"/>
    </xf>
    <xf numFmtId="0" fontId="2" fillId="0" borderId="0" xfId="20"/>
    <xf numFmtId="0" fontId="3" fillId="0" borderId="54" xfId="20" applyFont="1" applyBorder="1" applyAlignment="1">
      <alignment horizontal="center" vertical="center"/>
    </xf>
    <xf numFmtId="0" fontId="3" fillId="0" borderId="0" xfId="20" applyFont="1" applyAlignment="1">
      <alignment horizontal="center" vertical="center"/>
    </xf>
    <xf numFmtId="0" fontId="4" fillId="0" borderId="54" xfId="20" applyFont="1" applyBorder="1" applyAlignment="1">
      <alignment vertical="center"/>
    </xf>
    <xf numFmtId="0" fontId="5" fillId="8" borderId="31" xfId="20" applyFont="1" applyFill="1" applyBorder="1" applyAlignment="1">
      <alignment horizontal="center" vertical="center" wrapText="1"/>
    </xf>
    <xf numFmtId="0" fontId="3" fillId="0" borderId="31" xfId="20" applyFont="1" applyBorder="1" applyAlignment="1">
      <alignment horizontal="center" vertical="center"/>
    </xf>
    <xf numFmtId="0" fontId="13" fillId="0" borderId="31" xfId="20" applyFont="1" applyBorder="1" applyAlignment="1" applyProtection="1">
      <alignment horizontal="justify" vertical="center" wrapText="1"/>
      <protection locked="0"/>
    </xf>
    <xf numFmtId="3" fontId="6" fillId="9" borderId="31" xfId="20" applyNumberFormat="1" applyFont="1" applyFill="1" applyBorder="1" applyAlignment="1" applyProtection="1">
      <alignment horizontal="center" vertical="center"/>
      <protection locked="0"/>
    </xf>
    <xf numFmtId="9" fontId="6" fillId="9" borderId="31" xfId="20" applyNumberFormat="1" applyFont="1" applyFill="1" applyBorder="1" applyAlignment="1" applyProtection="1">
      <alignment horizontal="center" vertical="center"/>
      <protection locked="0"/>
    </xf>
    <xf numFmtId="167" fontId="6" fillId="0" borderId="31" xfId="24" applyFont="1" applyBorder="1" applyAlignment="1" applyProtection="1">
      <alignment horizontal="center" vertical="center"/>
      <protection locked="0"/>
    </xf>
    <xf numFmtId="9" fontId="6" fillId="0" borderId="31" xfId="22" applyFont="1" applyBorder="1" applyAlignment="1" applyProtection="1">
      <alignment horizontal="center" vertical="center"/>
      <protection locked="0"/>
    </xf>
    <xf numFmtId="4" fontId="6" fillId="0" borderId="31" xfId="20" applyNumberFormat="1" applyFont="1" applyBorder="1" applyAlignment="1" applyProtection="1">
      <alignment horizontal="center" vertical="center"/>
      <protection locked="0"/>
    </xf>
    <xf numFmtId="10" fontId="6" fillId="0" borderId="31" xfId="22" applyNumberFormat="1" applyFont="1" applyBorder="1" applyAlignment="1" applyProtection="1">
      <alignment horizontal="center" vertical="center"/>
      <protection locked="0"/>
    </xf>
    <xf numFmtId="10" fontId="6" fillId="9" borderId="36" xfId="20" applyNumberFormat="1" applyFont="1" applyFill="1" applyBorder="1" applyAlignment="1" applyProtection="1">
      <alignment horizontal="center" vertical="center"/>
      <protection locked="0"/>
    </xf>
    <xf numFmtId="0" fontId="2" fillId="0" borderId="0" xfId="20" applyAlignment="1">
      <alignment horizontal="justify" vertical="center"/>
    </xf>
    <xf numFmtId="0" fontId="14" fillId="0" borderId="0" xfId="20" applyFont="1" applyAlignment="1">
      <alignment horizontal="justify" vertical="center" wrapText="1"/>
    </xf>
    <xf numFmtId="3" fontId="5" fillId="6" borderId="31" xfId="20" applyNumberFormat="1" applyFont="1" applyFill="1" applyBorder="1" applyAlignment="1">
      <alignment horizontal="center" vertical="center"/>
    </xf>
    <xf numFmtId="9" fontId="5" fillId="6" borderId="31" xfId="20" applyNumberFormat="1" applyFont="1" applyFill="1" applyBorder="1" applyAlignment="1">
      <alignment horizontal="center" vertical="center"/>
    </xf>
    <xf numFmtId="167" fontId="5" fillId="6" borderId="31" xfId="24" applyFont="1" applyFill="1" applyBorder="1" applyAlignment="1">
      <alignment horizontal="center" vertical="center"/>
    </xf>
    <xf numFmtId="167" fontId="5" fillId="6" borderId="31" xfId="24" applyFont="1" applyFill="1" applyBorder="1" applyAlignment="1">
      <alignment horizontal="center" vertical="center" wrapText="1"/>
    </xf>
    <xf numFmtId="10" fontId="3" fillId="6" borderId="31" xfId="22" applyNumberFormat="1" applyFont="1" applyFill="1" applyBorder="1" applyAlignment="1">
      <alignment horizontal="center" vertical="center" wrapText="1"/>
    </xf>
    <xf numFmtId="3" fontId="5" fillId="6" borderId="31" xfId="20" applyNumberFormat="1" applyFont="1" applyFill="1" applyBorder="1" applyAlignment="1">
      <alignment horizontal="center" vertical="center" wrapText="1"/>
    </xf>
    <xf numFmtId="167" fontId="2" fillId="0" borderId="0" xfId="20" applyNumberFormat="1"/>
    <xf numFmtId="9" fontId="2" fillId="0" borderId="0" xfId="22"/>
    <xf numFmtId="0" fontId="5" fillId="5" borderId="31" xfId="20" applyFont="1" applyFill="1" applyBorder="1" applyAlignment="1">
      <alignment horizontal="center" vertical="center" wrapText="1"/>
    </xf>
    <xf numFmtId="0" fontId="7" fillId="0" borderId="31" xfId="20" applyFont="1" applyBorder="1" applyAlignment="1">
      <alignment horizontal="justify" vertical="center" wrapText="1"/>
    </xf>
    <xf numFmtId="9" fontId="15" fillId="0" borderId="31" xfId="22" applyFont="1" applyBorder="1" applyAlignment="1">
      <alignment horizontal="center" vertical="center" wrapText="1"/>
    </xf>
    <xf numFmtId="168" fontId="2" fillId="0" borderId="31" xfId="24" applyNumberFormat="1" applyBorder="1" applyAlignment="1">
      <alignment horizontal="center" vertical="center" wrapText="1"/>
    </xf>
    <xf numFmtId="10" fontId="2" fillId="0" borderId="31" xfId="22" applyNumberFormat="1" applyBorder="1" applyAlignment="1">
      <alignment horizontal="center" vertical="center" wrapText="1"/>
    </xf>
    <xf numFmtId="0" fontId="7" fillId="0" borderId="0" xfId="20" applyFont="1" applyAlignment="1">
      <alignment horizontal="justify" vertical="center" wrapText="1"/>
    </xf>
    <xf numFmtId="0" fontId="7" fillId="0" borderId="0" xfId="20" applyFont="1" applyAlignment="1">
      <alignment horizontal="center" vertical="center" wrapText="1"/>
    </xf>
    <xf numFmtId="9" fontId="2" fillId="0" borderId="0" xfId="22" applyAlignment="1">
      <alignment horizontal="center" vertical="center" wrapText="1"/>
    </xf>
    <xf numFmtId="9" fontId="15" fillId="0" borderId="0" xfId="22" applyFont="1" applyAlignment="1">
      <alignment horizontal="center" vertical="center" wrapText="1"/>
    </xf>
    <xf numFmtId="0" fontId="5" fillId="0" borderId="0" xfId="20" applyFont="1" applyAlignment="1">
      <alignment vertical="center" wrapText="1"/>
    </xf>
    <xf numFmtId="0" fontId="4" fillId="0" borderId="31" xfId="20" applyFont="1" applyBorder="1" applyAlignment="1">
      <alignment horizontal="justify" vertical="center" wrapText="1"/>
    </xf>
    <xf numFmtId="168" fontId="3" fillId="0" borderId="31" xfId="20" applyNumberFormat="1" applyFont="1" applyBorder="1" applyAlignment="1">
      <alignment horizontal="justify" vertical="center" wrapText="1"/>
    </xf>
    <xf numFmtId="10" fontId="3" fillId="0" borderId="31" xfId="22" applyNumberFormat="1" applyFont="1" applyBorder="1" applyAlignment="1">
      <alignment horizontal="center" vertical="center" wrapText="1"/>
    </xf>
    <xf numFmtId="168" fontId="2" fillId="0" borderId="0" xfId="24" applyNumberFormat="1" applyAlignment="1">
      <alignment horizontal="center" vertical="center" wrapText="1"/>
    </xf>
    <xf numFmtId="9" fontId="2" fillId="0" borderId="0" xfId="20" applyNumberFormat="1"/>
    <xf numFmtId="0" fontId="5" fillId="0" borderId="0" xfId="20" applyFont="1" applyAlignment="1">
      <alignment horizontal="center" vertical="center" wrapText="1"/>
    </xf>
    <xf numFmtId="0" fontId="16" fillId="0" borderId="2" xfId="0" applyFont="1" applyBorder="1" applyAlignment="1">
      <alignment horizontal="center" vertical="center" wrapText="1"/>
    </xf>
    <xf numFmtId="0" fontId="18" fillId="0" borderId="2" xfId="0" applyFont="1" applyBorder="1"/>
    <xf numFmtId="0" fontId="19"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7"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9" fillId="0" borderId="0" xfId="0" applyFont="1" applyAlignment="1">
      <alignment horizontal="center" vertical="center" wrapText="1"/>
    </xf>
    <xf numFmtId="0" fontId="16" fillId="0" borderId="13" xfId="0" applyFont="1" applyBorder="1" applyAlignment="1">
      <alignment vertical="center" wrapText="1"/>
    </xf>
    <xf numFmtId="0" fontId="18" fillId="0" borderId="0" xfId="0" applyFont="1"/>
    <xf numFmtId="0" fontId="17" fillId="0" borderId="0" xfId="0" applyFont="1" applyAlignment="1">
      <alignment horizontal="center" vertical="center" wrapText="1"/>
    </xf>
    <xf numFmtId="0" fontId="16" fillId="0" borderId="0" xfId="0" applyFont="1" applyAlignment="1">
      <alignment vertical="justify"/>
    </xf>
    <xf numFmtId="0" fontId="17" fillId="0" borderId="0" xfId="0" applyFont="1" applyAlignment="1">
      <alignment horizontal="right" vertical="center" wrapText="1"/>
    </xf>
    <xf numFmtId="0" fontId="17"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0" fontId="16" fillId="0" borderId="13" xfId="0" applyFont="1" applyBorder="1" applyAlignment="1" applyProtection="1">
      <alignment vertical="center" wrapText="1"/>
      <protection locked="0"/>
    </xf>
    <xf numFmtId="0" fontId="16" fillId="0" borderId="0" xfId="0" applyFont="1" applyAlignment="1">
      <alignment horizontal="left" vertical="center" wrapText="1"/>
    </xf>
    <xf numFmtId="0" fontId="16" fillId="0" borderId="13" xfId="0" applyFont="1" applyBorder="1" applyAlignment="1">
      <alignment vertical="justify"/>
    </xf>
    <xf numFmtId="0" fontId="17" fillId="0" borderId="16" xfId="0" applyFont="1" applyBorder="1" applyAlignment="1">
      <alignment horizontal="center" vertical="center" wrapText="1"/>
    </xf>
    <xf numFmtId="9" fontId="20" fillId="0" borderId="20" xfId="0" applyNumberFormat="1"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22" fillId="0" borderId="49" xfId="0" applyFont="1" applyBorder="1" applyAlignment="1">
      <alignment horizontal="center" vertical="center" wrapText="1"/>
    </xf>
    <xf numFmtId="10" fontId="16" fillId="0" borderId="45" xfId="0" applyNumberFormat="1" applyFont="1" applyBorder="1" applyAlignment="1">
      <alignment vertical="center" wrapText="1"/>
    </xf>
    <xf numFmtId="0" fontId="16" fillId="0" borderId="31" xfId="0" applyFont="1" applyBorder="1" applyAlignment="1">
      <alignment horizontal="center" vertical="center" wrapText="1"/>
    </xf>
    <xf numFmtId="0" fontId="16" fillId="0" borderId="45" xfId="0" applyFont="1" applyBorder="1" applyAlignment="1">
      <alignment vertical="center" wrapText="1"/>
    </xf>
    <xf numFmtId="0" fontId="16" fillId="0" borderId="43" xfId="0" applyFont="1" applyBorder="1" applyAlignment="1" applyProtection="1">
      <alignment vertical="center" wrapText="1"/>
      <protection locked="0"/>
    </xf>
    <xf numFmtId="0" fontId="16" fillId="0" borderId="44" xfId="0" applyFont="1" applyBorder="1" applyAlignment="1" applyProtection="1">
      <alignment vertical="center" wrapText="1"/>
      <protection locked="0"/>
    </xf>
    <xf numFmtId="0" fontId="16" fillId="0" borderId="45" xfId="0" applyFont="1" applyBorder="1" applyAlignment="1" applyProtection="1">
      <alignment horizontal="justify" vertical="center" wrapText="1"/>
      <protection locked="0"/>
    </xf>
    <xf numFmtId="0" fontId="16" fillId="0" borderId="45" xfId="0" applyFont="1" applyBorder="1" applyAlignment="1" applyProtection="1">
      <alignment vertical="center" wrapText="1"/>
      <protection locked="0"/>
    </xf>
    <xf numFmtId="0" fontId="16" fillId="10" borderId="31" xfId="0" applyFont="1" applyFill="1" applyBorder="1" applyAlignment="1">
      <alignment horizontal="center" vertical="center" wrapText="1"/>
    </xf>
    <xf numFmtId="0" fontId="16" fillId="10" borderId="0" xfId="0" applyFont="1" applyFill="1" applyAlignment="1">
      <alignment vertical="center" wrapText="1"/>
    </xf>
    <xf numFmtId="9" fontId="17" fillId="3" borderId="34" xfId="0" applyNumberFormat="1" applyFont="1" applyFill="1" applyBorder="1" applyAlignment="1">
      <alignment horizontal="center" vertical="center" wrapText="1"/>
    </xf>
    <xf numFmtId="0" fontId="23" fillId="0" borderId="0" xfId="0" applyFont="1" applyAlignment="1">
      <alignment vertical="center" wrapText="1"/>
    </xf>
    <xf numFmtId="0" fontId="16" fillId="0" borderId="0" xfId="0" applyFont="1"/>
    <xf numFmtId="49" fontId="16" fillId="0" borderId="0" xfId="0" applyNumberFormat="1" applyFont="1" applyAlignment="1">
      <alignment vertical="center" wrapText="1"/>
    </xf>
    <xf numFmtId="0" fontId="16" fillId="0" borderId="0" xfId="0" applyFont="1" applyAlignment="1">
      <alignment vertical="center"/>
    </xf>
    <xf numFmtId="0" fontId="21" fillId="0" borderId="0" xfId="0" applyFont="1"/>
    <xf numFmtId="0" fontId="17" fillId="0" borderId="0" xfId="0" applyFont="1"/>
    <xf numFmtId="0" fontId="22" fillId="0" borderId="0" xfId="0" applyFont="1" applyAlignment="1">
      <alignment vertical="center"/>
    </xf>
    <xf numFmtId="0" fontId="24" fillId="0" borderId="0" xfId="0" applyFont="1"/>
    <xf numFmtId="0" fontId="25" fillId="0" borderId="0" xfId="0" applyFont="1" applyAlignment="1">
      <alignment vertical="center"/>
    </xf>
    <xf numFmtId="0" fontId="16" fillId="0" borderId="0" xfId="0" applyFont="1" applyAlignment="1" applyProtection="1">
      <alignment vertical="center"/>
      <protection locked="0"/>
    </xf>
    <xf numFmtId="0" fontId="25" fillId="0" borderId="0" xfId="0" applyFont="1" applyAlignment="1">
      <alignment vertical="center" wrapText="1"/>
    </xf>
    <xf numFmtId="0" fontId="26" fillId="0" borderId="0" xfId="0" applyFont="1" applyAlignment="1">
      <alignment horizontal="justify" vertical="center" wrapText="1"/>
    </xf>
    <xf numFmtId="0" fontId="26" fillId="0" borderId="0" xfId="0" applyFont="1"/>
    <xf numFmtId="0" fontId="26" fillId="0" borderId="0" xfId="0" applyFont="1" applyAlignment="1">
      <alignment wrapText="1"/>
    </xf>
    <xf numFmtId="0" fontId="19" fillId="0" borderId="0" xfId="0" applyFont="1"/>
    <xf numFmtId="0" fontId="22" fillId="0" borderId="0" xfId="0" applyFont="1"/>
    <xf numFmtId="9" fontId="16" fillId="0" borderId="31" xfId="1" applyFont="1" applyBorder="1" applyAlignment="1">
      <alignment horizontal="center" vertical="center" wrapText="1"/>
    </xf>
    <xf numFmtId="0" fontId="21" fillId="0" borderId="31" xfId="0" applyFont="1" applyBorder="1" applyAlignment="1">
      <alignment horizontal="center" vertical="center" wrapText="1"/>
    </xf>
    <xf numFmtId="0" fontId="21" fillId="10" borderId="31" xfId="0" applyFont="1" applyFill="1" applyBorder="1" applyAlignment="1">
      <alignment horizontal="center" vertical="center" wrapText="1"/>
    </xf>
    <xf numFmtId="9" fontId="16" fillId="0" borderId="30" xfId="0" applyNumberFormat="1" applyFont="1" applyBorder="1" applyAlignment="1">
      <alignment horizontal="center" vertical="center" wrapText="1"/>
    </xf>
    <xf numFmtId="9" fontId="16" fillId="0" borderId="43" xfId="0" applyNumberFormat="1" applyFont="1" applyBorder="1" applyAlignment="1">
      <alignment horizontal="center" vertical="center" wrapText="1"/>
    </xf>
    <xf numFmtId="9" fontId="16" fillId="0" borderId="32" xfId="0" applyNumberFormat="1" applyFont="1" applyBorder="1" applyAlignment="1">
      <alignment horizontal="center" vertical="center" wrapText="1"/>
    </xf>
    <xf numFmtId="9" fontId="16" fillId="0" borderId="44" xfId="1" applyFont="1" applyBorder="1" applyAlignment="1">
      <alignment horizontal="center" vertical="center" wrapText="1"/>
    </xf>
    <xf numFmtId="0" fontId="16" fillId="10" borderId="44" xfId="0" applyFont="1" applyFill="1" applyBorder="1" applyAlignment="1">
      <alignment horizontal="center" vertical="center" wrapText="1"/>
    </xf>
    <xf numFmtId="9" fontId="16" fillId="0" borderId="45"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7" fillId="0" borderId="2" xfId="0" applyFont="1" applyBorder="1" applyAlignment="1">
      <alignment vertical="center" wrapText="1"/>
    </xf>
    <xf numFmtId="0" fontId="27" fillId="0" borderId="7" xfId="0" applyFont="1" applyBorder="1" applyAlignment="1">
      <alignmen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7" fillId="0" borderId="13" xfId="0" applyFont="1" applyBorder="1" applyAlignment="1">
      <alignment vertical="center" wrapText="1"/>
    </xf>
    <xf numFmtId="0" fontId="27" fillId="0" borderId="0" xfId="0" applyFont="1" applyAlignment="1">
      <alignment vertical="justify"/>
    </xf>
    <xf numFmtId="0" fontId="28" fillId="0" borderId="0" xfId="0" applyFont="1" applyAlignment="1">
      <alignment horizontal="right" vertical="center" wrapText="1"/>
    </xf>
    <xf numFmtId="0" fontId="28" fillId="0" borderId="0" xfId="0" applyFont="1" applyAlignment="1" applyProtection="1">
      <alignment vertical="center" wrapText="1"/>
      <protection locked="0"/>
    </xf>
    <xf numFmtId="0" fontId="27" fillId="0" borderId="0" xfId="0" applyFont="1" applyAlignment="1" applyProtection="1">
      <alignment vertical="center" wrapText="1"/>
      <protection locked="0"/>
    </xf>
    <xf numFmtId="0" fontId="27" fillId="0" borderId="13" xfId="0" applyFont="1" applyBorder="1" applyAlignment="1" applyProtection="1">
      <alignment vertical="center" wrapText="1"/>
      <protection locked="0"/>
    </xf>
    <xf numFmtId="0" fontId="27" fillId="0" borderId="0" xfId="0" applyFont="1" applyAlignment="1">
      <alignment horizontal="left" vertical="center" wrapText="1"/>
    </xf>
    <xf numFmtId="0" fontId="27" fillId="0" borderId="13" xfId="0" applyFont="1" applyBorder="1" applyAlignment="1">
      <alignment vertical="justify"/>
    </xf>
    <xf numFmtId="0" fontId="28" fillId="0" borderId="16" xfId="0" applyFont="1" applyBorder="1" applyAlignment="1">
      <alignment horizontal="center" vertical="center" wrapText="1"/>
    </xf>
    <xf numFmtId="9" fontId="28" fillId="0" borderId="20" xfId="0" applyNumberFormat="1" applyFont="1" applyBorder="1" applyAlignment="1">
      <alignment horizontal="center" vertical="center" wrapText="1"/>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9" fontId="27" fillId="0" borderId="45" xfId="0" applyNumberFormat="1" applyFont="1" applyBorder="1" applyAlignment="1">
      <alignment vertical="center" wrapText="1"/>
    </xf>
    <xf numFmtId="0" fontId="27" fillId="0" borderId="4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9" xfId="0" applyFont="1" applyBorder="1" applyAlignment="1">
      <alignment horizontal="center" vertical="center" wrapText="1"/>
    </xf>
    <xf numFmtId="1" fontId="27" fillId="0" borderId="69" xfId="0" applyNumberFormat="1" applyFont="1" applyBorder="1" applyAlignment="1">
      <alignment horizontal="center" vertical="center" wrapText="1"/>
    </xf>
    <xf numFmtId="10" fontId="27" fillId="0" borderId="60" xfId="0" applyNumberFormat="1" applyFont="1" applyBorder="1" applyAlignment="1">
      <alignment vertical="center" wrapText="1"/>
    </xf>
    <xf numFmtId="1" fontId="27" fillId="0" borderId="59" xfId="1" applyNumberFormat="1" applyFont="1" applyBorder="1" applyAlignment="1">
      <alignment horizontal="center" vertical="center" wrapText="1"/>
    </xf>
    <xf numFmtId="10" fontId="27" fillId="3" borderId="76" xfId="1" applyNumberFormat="1" applyFont="1" applyFill="1" applyBorder="1" applyAlignment="1">
      <alignment horizontal="center" vertical="center" wrapText="1"/>
    </xf>
    <xf numFmtId="10" fontId="27" fillId="0" borderId="59" xfId="0" applyNumberFormat="1" applyFont="1" applyBorder="1" applyAlignment="1">
      <alignment horizontal="center" vertical="center" wrapText="1"/>
    </xf>
    <xf numFmtId="10" fontId="27" fillId="0" borderId="60" xfId="0" applyNumberFormat="1" applyFont="1" applyBorder="1" applyAlignment="1">
      <alignment horizontal="center" vertical="center" wrapText="1"/>
    </xf>
    <xf numFmtId="10" fontId="27" fillId="0" borderId="73" xfId="0" applyNumberFormat="1" applyFont="1" applyBorder="1" applyAlignment="1" applyProtection="1">
      <alignment horizontal="center" vertical="center" wrapText="1"/>
      <protection locked="0"/>
    </xf>
    <xf numFmtId="0" fontId="27" fillId="0" borderId="60" xfId="0" applyFont="1" applyBorder="1" applyAlignment="1">
      <alignment vertical="center" wrapText="1"/>
    </xf>
    <xf numFmtId="0" fontId="27" fillId="0" borderId="59" xfId="0" applyFont="1" applyBorder="1" applyAlignment="1" applyProtection="1">
      <alignment horizontal="center" vertical="center" wrapText="1"/>
      <protection locked="0"/>
    </xf>
    <xf numFmtId="0" fontId="27" fillId="0" borderId="69" xfId="0" applyFont="1" applyBorder="1" applyAlignment="1" applyProtection="1">
      <alignment horizontal="center" vertical="center" wrapText="1"/>
      <protection locked="0"/>
    </xf>
    <xf numFmtId="0" fontId="27" fillId="0" borderId="60" xfId="0" applyFont="1" applyBorder="1" applyAlignment="1" applyProtection="1">
      <alignment horizontal="justify" vertical="center" wrapText="1"/>
      <protection locked="0"/>
    </xf>
    <xf numFmtId="0" fontId="27" fillId="0" borderId="60" xfId="0" applyFont="1" applyBorder="1" applyAlignment="1" applyProtection="1">
      <alignment vertical="center" wrapText="1"/>
      <protection locked="0"/>
    </xf>
    <xf numFmtId="1" fontId="27" fillId="0" borderId="55" xfId="0" applyNumberFormat="1" applyFont="1" applyBorder="1" applyAlignment="1">
      <alignment horizontal="center" vertical="center" wrapText="1"/>
    </xf>
    <xf numFmtId="0" fontId="27" fillId="0" borderId="55" xfId="0" applyFont="1" applyBorder="1" applyAlignment="1">
      <alignment horizontal="center" vertical="center" wrapText="1"/>
    </xf>
    <xf numFmtId="10" fontId="27" fillId="0" borderId="41" xfId="0" applyNumberFormat="1" applyFont="1" applyBorder="1" applyAlignment="1">
      <alignment vertical="center" wrapText="1"/>
    </xf>
    <xf numFmtId="1" fontId="27" fillId="0" borderId="65" xfId="1" applyNumberFormat="1" applyFont="1" applyBorder="1" applyAlignment="1">
      <alignment horizontal="center" vertical="center" wrapText="1"/>
    </xf>
    <xf numFmtId="1" fontId="27" fillId="0" borderId="57" xfId="0" applyNumberFormat="1" applyFont="1" applyBorder="1" applyAlignment="1">
      <alignment horizontal="center" vertical="center" wrapText="1"/>
    </xf>
    <xf numFmtId="10" fontId="27" fillId="0" borderId="56" xfId="0" applyNumberFormat="1" applyFont="1" applyBorder="1" applyAlignment="1">
      <alignment vertical="center" wrapText="1"/>
    </xf>
    <xf numFmtId="10" fontId="27" fillId="3" borderId="83" xfId="1" applyNumberFormat="1" applyFont="1" applyFill="1" applyBorder="1" applyAlignment="1">
      <alignment horizontal="center" vertical="center" wrapText="1"/>
    </xf>
    <xf numFmtId="10" fontId="27" fillId="0" borderId="57" xfId="0" applyNumberFormat="1" applyFont="1" applyBorder="1" applyAlignment="1">
      <alignment horizontal="center" vertical="center" wrapText="1"/>
    </xf>
    <xf numFmtId="1" fontId="27" fillId="0" borderId="49" xfId="0" applyNumberFormat="1" applyFont="1" applyBorder="1" applyAlignment="1">
      <alignment horizontal="center" vertical="center" wrapText="1"/>
    </xf>
    <xf numFmtId="10" fontId="27" fillId="0" borderId="56" xfId="0" applyNumberFormat="1" applyFont="1" applyBorder="1" applyAlignment="1">
      <alignment horizontal="center" vertical="center" wrapText="1"/>
    </xf>
    <xf numFmtId="10" fontId="27" fillId="0" borderId="58" xfId="0" applyNumberFormat="1" applyFont="1" applyBorder="1" applyAlignment="1" applyProtection="1">
      <alignment horizontal="center" vertical="center" wrapText="1"/>
      <protection locked="0"/>
    </xf>
    <xf numFmtId="0" fontId="27" fillId="0" borderId="56" xfId="0" applyFont="1" applyBorder="1" applyAlignment="1">
      <alignment vertical="center" wrapText="1"/>
    </xf>
    <xf numFmtId="0" fontId="27" fillId="0" borderId="57" xfId="0" applyFont="1" applyBorder="1" applyAlignment="1" applyProtection="1">
      <alignment vertical="center" wrapText="1"/>
      <protection locked="0"/>
    </xf>
    <xf numFmtId="0" fontId="27" fillId="0" borderId="49" xfId="0" applyFont="1" applyBorder="1" applyAlignment="1" applyProtection="1">
      <alignment vertical="center" wrapText="1"/>
      <protection locked="0"/>
    </xf>
    <xf numFmtId="0" fontId="27" fillId="0" borderId="56" xfId="0" applyFont="1" applyBorder="1" applyAlignment="1" applyProtection="1">
      <alignment horizontal="justify" vertical="center" wrapText="1"/>
      <protection locked="0"/>
    </xf>
    <xf numFmtId="0" fontId="27" fillId="0" borderId="56" xfId="0" applyFont="1" applyBorder="1" applyAlignment="1" applyProtection="1">
      <alignment vertical="center" wrapText="1"/>
      <protection locked="0"/>
    </xf>
    <xf numFmtId="10" fontId="27" fillId="0" borderId="31" xfId="0" applyNumberFormat="1" applyFont="1" applyBorder="1" applyAlignment="1">
      <alignment horizontal="center" vertical="center" wrapText="1"/>
    </xf>
    <xf numFmtId="0" fontId="27" fillId="0" borderId="31" xfId="0" applyFont="1" applyBorder="1" applyAlignment="1" applyProtection="1">
      <alignment vertical="center" wrapText="1"/>
      <protection locked="0"/>
    </xf>
    <xf numFmtId="0" fontId="27" fillId="0" borderId="69" xfId="0" applyFont="1" applyBorder="1" applyAlignment="1" applyProtection="1">
      <alignment vertical="center" wrapText="1"/>
      <protection locked="0"/>
    </xf>
    <xf numFmtId="10" fontId="27" fillId="0" borderId="45" xfId="0" applyNumberFormat="1" applyFont="1" applyBorder="1" applyAlignment="1">
      <alignment vertical="center" wrapText="1"/>
    </xf>
    <xf numFmtId="1" fontId="27" fillId="0" borderId="43" xfId="1" applyNumberFormat="1" applyFont="1" applyBorder="1" applyAlignment="1">
      <alignment horizontal="center" vertical="center" wrapText="1"/>
    </xf>
    <xf numFmtId="10" fontId="27" fillId="3" borderId="19" xfId="1" applyNumberFormat="1" applyFont="1" applyFill="1" applyBorder="1" applyAlignment="1">
      <alignment horizontal="center" vertical="center" wrapText="1"/>
    </xf>
    <xf numFmtId="10" fontId="27" fillId="0" borderId="43" xfId="0" applyNumberFormat="1" applyFont="1" applyBorder="1" applyAlignment="1">
      <alignment horizontal="center" vertical="center" wrapText="1"/>
    </xf>
    <xf numFmtId="10" fontId="27" fillId="0" borderId="45" xfId="0" applyNumberFormat="1" applyFont="1" applyBorder="1" applyAlignment="1">
      <alignment horizontal="center" vertical="center" wrapText="1"/>
    </xf>
    <xf numFmtId="10" fontId="27" fillId="0" borderId="20" xfId="0" applyNumberFormat="1" applyFont="1" applyBorder="1" applyAlignment="1" applyProtection="1">
      <alignment horizontal="center" vertical="center" wrapText="1"/>
      <protection locked="0"/>
    </xf>
    <xf numFmtId="0" fontId="27" fillId="0" borderId="45" xfId="0" applyFont="1" applyBorder="1" applyAlignment="1">
      <alignment vertical="center" wrapText="1"/>
    </xf>
    <xf numFmtId="0" fontId="27" fillId="0" borderId="43" xfId="0" applyFont="1" applyBorder="1" applyAlignment="1" applyProtection="1">
      <alignment vertical="center" wrapText="1"/>
      <protection locked="0"/>
    </xf>
    <xf numFmtId="0" fontId="27" fillId="0" borderId="44" xfId="0" applyFont="1" applyBorder="1" applyAlignment="1" applyProtection="1">
      <alignment vertical="center" wrapText="1"/>
      <protection locked="0"/>
    </xf>
    <xf numFmtId="0" fontId="27" fillId="0" borderId="45" xfId="0" applyFont="1" applyBorder="1" applyAlignment="1" applyProtection="1">
      <alignment horizontal="justify" vertical="center" wrapText="1"/>
      <protection locked="0"/>
    </xf>
    <xf numFmtId="0" fontId="27" fillId="0" borderId="45" xfId="0" applyFont="1" applyBorder="1" applyAlignment="1" applyProtection="1">
      <alignment vertical="center" wrapText="1"/>
      <protection locked="0"/>
    </xf>
    <xf numFmtId="9" fontId="27" fillId="0" borderId="43" xfId="1" applyFont="1" applyBorder="1" applyAlignment="1">
      <alignment horizontal="center" vertical="center" wrapText="1"/>
    </xf>
    <xf numFmtId="0" fontId="27" fillId="0" borderId="52" xfId="0" applyFont="1" applyBorder="1" applyAlignment="1">
      <alignment horizontal="center" vertical="center" wrapText="1"/>
    </xf>
    <xf numFmtId="9" fontId="28" fillId="11" borderId="0" xfId="0" applyNumberFormat="1" applyFont="1" applyFill="1" applyAlignment="1">
      <alignment vertical="center" wrapText="1"/>
    </xf>
    <xf numFmtId="0" fontId="27" fillId="0" borderId="0" xfId="0" applyFont="1"/>
    <xf numFmtId="49" fontId="27" fillId="0" borderId="0" xfId="0" applyNumberFormat="1" applyFont="1" applyAlignment="1">
      <alignment vertical="center" wrapText="1"/>
    </xf>
    <xf numFmtId="0" fontId="27" fillId="0" borderId="0" xfId="0" applyFont="1" applyAlignment="1">
      <alignment vertical="center"/>
    </xf>
    <xf numFmtId="0" fontId="28" fillId="0" borderId="0" xfId="0" applyFont="1"/>
    <xf numFmtId="0" fontId="29" fillId="0" borderId="0" xfId="0" applyFont="1"/>
    <xf numFmtId="0" fontId="29" fillId="0" borderId="0" xfId="0" applyFont="1" applyAlignment="1">
      <alignment vertical="center"/>
    </xf>
    <xf numFmtId="0" fontId="27" fillId="0" borderId="0" xfId="0" applyFont="1" applyAlignment="1" applyProtection="1">
      <alignment vertical="center"/>
      <protection locked="0"/>
    </xf>
    <xf numFmtId="0" fontId="27" fillId="0" borderId="0" xfId="0" applyFont="1" applyAlignment="1">
      <alignment horizontal="justify" vertical="center" wrapText="1"/>
    </xf>
    <xf numFmtId="0" fontId="27" fillId="0" borderId="0" xfId="0" applyFont="1" applyAlignment="1">
      <alignment wrapText="1"/>
    </xf>
    <xf numFmtId="0" fontId="29" fillId="0" borderId="0" xfId="0" applyFont="1" applyAlignment="1">
      <alignment vertical="center" wrapText="1"/>
    </xf>
    <xf numFmtId="10" fontId="27" fillId="0" borderId="35" xfId="0" applyNumberFormat="1" applyFont="1" applyBorder="1" applyAlignment="1">
      <alignment vertical="center" wrapText="1"/>
    </xf>
    <xf numFmtId="10" fontId="27" fillId="3" borderId="50" xfId="1" applyNumberFormat="1" applyFont="1" applyFill="1" applyBorder="1" applyAlignment="1">
      <alignment horizontal="center" vertical="center" wrapText="1"/>
    </xf>
    <xf numFmtId="0" fontId="27" fillId="0" borderId="33" xfId="0" applyFont="1" applyBorder="1" applyAlignment="1" applyProtection="1">
      <alignment horizontal="center" vertical="center" wrapText="1"/>
      <protection locked="0"/>
    </xf>
    <xf numFmtId="0" fontId="27" fillId="0" borderId="34" xfId="0" applyFont="1" applyBorder="1" applyAlignment="1" applyProtection="1">
      <alignment horizontal="center" vertical="center" wrapText="1"/>
      <protection locked="0"/>
    </xf>
    <xf numFmtId="0" fontId="27" fillId="0" borderId="35" xfId="0" applyFont="1" applyBorder="1" applyAlignment="1" applyProtection="1">
      <alignment horizontal="justify" vertical="center" wrapText="1"/>
      <protection locked="0"/>
    </xf>
    <xf numFmtId="0" fontId="27" fillId="0" borderId="35" xfId="0" applyFont="1" applyBorder="1" applyAlignment="1" applyProtection="1">
      <alignment vertical="center" wrapText="1"/>
      <protection locked="0"/>
    </xf>
    <xf numFmtId="9" fontId="28" fillId="3" borderId="34" xfId="0" applyNumberFormat="1" applyFont="1" applyFill="1" applyBorder="1" applyAlignment="1">
      <alignment horizontal="center" vertical="center" wrapText="1"/>
    </xf>
    <xf numFmtId="9" fontId="27" fillId="0" borderId="30" xfId="0" applyNumberFormat="1" applyFont="1" applyBorder="1" applyAlignment="1">
      <alignment horizontal="center" vertical="center" wrapText="1"/>
    </xf>
    <xf numFmtId="10" fontId="27" fillId="0" borderId="32" xfId="0" applyNumberFormat="1" applyFont="1" applyBorder="1" applyAlignment="1">
      <alignment vertical="center" wrapText="1"/>
    </xf>
    <xf numFmtId="10" fontId="27" fillId="3" borderId="11" xfId="1" applyNumberFormat="1" applyFont="1" applyFill="1" applyBorder="1" applyAlignment="1">
      <alignment horizontal="center" vertical="center" wrapText="1"/>
    </xf>
    <xf numFmtId="10" fontId="27" fillId="0" borderId="30" xfId="0" applyNumberFormat="1" applyFont="1" applyBorder="1" applyAlignment="1">
      <alignment horizontal="center" vertical="center" wrapText="1"/>
    </xf>
    <xf numFmtId="10" fontId="27" fillId="0" borderId="32" xfId="0" applyNumberFormat="1" applyFont="1" applyBorder="1" applyAlignment="1">
      <alignment horizontal="center" vertical="center" wrapText="1"/>
    </xf>
    <xf numFmtId="10" fontId="27" fillId="0" borderId="12" xfId="0" applyNumberFormat="1" applyFont="1" applyBorder="1" applyAlignment="1" applyProtection="1">
      <alignment horizontal="center" vertical="center" wrapText="1"/>
      <protection locked="0"/>
    </xf>
    <xf numFmtId="0" fontId="27" fillId="0" borderId="32" xfId="0" applyFont="1" applyBorder="1" applyAlignment="1">
      <alignment vertical="center" wrapText="1"/>
    </xf>
    <xf numFmtId="0" fontId="27" fillId="0" borderId="30" xfId="0" applyFont="1" applyBorder="1" applyAlignment="1" applyProtection="1">
      <alignment vertical="center" wrapText="1"/>
      <protection locked="0"/>
    </xf>
    <xf numFmtId="0" fontId="27" fillId="0" borderId="32" xfId="0" applyFont="1" applyBorder="1" applyAlignment="1" applyProtection="1">
      <alignment horizontal="justify" vertical="center" wrapText="1"/>
      <protection locked="0"/>
    </xf>
    <xf numFmtId="0" fontId="27" fillId="0" borderId="32" xfId="0" applyFont="1" applyBorder="1" applyAlignment="1" applyProtection="1">
      <alignment vertical="center" wrapText="1"/>
      <protection locked="0"/>
    </xf>
    <xf numFmtId="1" fontId="27" fillId="0" borderId="30" xfId="1" applyNumberFormat="1" applyFont="1" applyBorder="1" applyAlignment="1">
      <alignment horizontal="center" vertical="center" wrapText="1"/>
    </xf>
    <xf numFmtId="0" fontId="27" fillId="0" borderId="32" xfId="0" applyFont="1" applyBorder="1" applyAlignment="1">
      <alignment horizontal="justify" vertical="center" wrapText="1"/>
    </xf>
    <xf numFmtId="169" fontId="27" fillId="0" borderId="69" xfId="0" applyNumberFormat="1" applyFont="1" applyBorder="1" applyAlignment="1">
      <alignment horizontal="center" vertical="center" wrapText="1"/>
    </xf>
    <xf numFmtId="10" fontId="27" fillId="0" borderId="35" xfId="0" applyNumberFormat="1" applyFont="1" applyBorder="1" applyAlignment="1">
      <alignment horizontal="center" vertical="center" wrapText="1"/>
    </xf>
    <xf numFmtId="169" fontId="27" fillId="0" borderId="31" xfId="0" applyNumberFormat="1" applyFont="1" applyBorder="1" applyAlignment="1">
      <alignment horizontal="center" vertical="center" wrapText="1"/>
    </xf>
    <xf numFmtId="0" fontId="27" fillId="0" borderId="56" xfId="0" applyFont="1" applyBorder="1" applyAlignment="1">
      <alignment horizontal="justify" vertical="center" wrapText="1"/>
    </xf>
    <xf numFmtId="169" fontId="27" fillId="0" borderId="44" xfId="0" applyNumberFormat="1" applyFont="1" applyBorder="1" applyAlignment="1">
      <alignment horizontal="center" vertical="center" wrapText="1"/>
    </xf>
    <xf numFmtId="0" fontId="27" fillId="0" borderId="45" xfId="0" applyFont="1" applyBorder="1" applyAlignment="1">
      <alignment horizontal="justify" vertical="center" wrapText="1"/>
    </xf>
    <xf numFmtId="1" fontId="27" fillId="0" borderId="37" xfId="0" applyNumberFormat="1" applyFont="1" applyBorder="1" applyAlignment="1">
      <alignment horizontal="center" vertical="center" wrapText="1"/>
    </xf>
    <xf numFmtId="10" fontId="27" fillId="0" borderId="7" xfId="0" applyNumberFormat="1" applyFont="1" applyBorder="1" applyAlignment="1" applyProtection="1">
      <alignment horizontal="center" vertical="center" wrapText="1"/>
      <protection locked="0"/>
    </xf>
    <xf numFmtId="1" fontId="27" fillId="0" borderId="10" xfId="0" applyNumberFormat="1" applyFont="1" applyBorder="1" applyAlignment="1">
      <alignment horizontal="center" vertical="center" wrapText="1"/>
    </xf>
    <xf numFmtId="9" fontId="27" fillId="0" borderId="49" xfId="0" applyNumberFormat="1" applyFont="1" applyBorder="1" applyAlignment="1">
      <alignment horizontal="center" vertical="center" wrapText="1"/>
    </xf>
    <xf numFmtId="1" fontId="27" fillId="0" borderId="39" xfId="0" applyNumberFormat="1" applyFont="1" applyBorder="1" applyAlignment="1">
      <alignment horizontal="center" vertical="center" wrapText="1"/>
    </xf>
    <xf numFmtId="9" fontId="28" fillId="11" borderId="0" xfId="0" applyNumberFormat="1" applyFont="1" applyFill="1" applyAlignment="1">
      <alignment horizontal="center" vertical="center" wrapText="1"/>
    </xf>
    <xf numFmtId="9" fontId="27" fillId="0" borderId="74" xfId="0" applyNumberFormat="1" applyFont="1" applyBorder="1" applyAlignment="1">
      <alignment horizontal="center" vertical="center" wrapText="1"/>
    </xf>
    <xf numFmtId="9" fontId="27" fillId="0" borderId="10" xfId="0" applyNumberFormat="1" applyFont="1" applyBorder="1" applyAlignment="1">
      <alignment horizontal="center" vertical="center" wrapText="1"/>
    </xf>
    <xf numFmtId="9" fontId="27" fillId="0" borderId="87" xfId="0" applyNumberFormat="1" applyFont="1" applyBorder="1" applyAlignment="1">
      <alignment horizontal="center" vertical="center" wrapText="1"/>
    </xf>
    <xf numFmtId="0" fontId="27" fillId="0" borderId="57" xfId="0" applyFont="1" applyBorder="1" applyAlignment="1">
      <alignment horizontal="center" vertical="center" wrapText="1"/>
    </xf>
    <xf numFmtId="9" fontId="27" fillId="0" borderId="18" xfId="0" applyNumberFormat="1" applyFont="1" applyBorder="1" applyAlignment="1">
      <alignment horizontal="center" vertical="center" wrapText="1"/>
    </xf>
    <xf numFmtId="9" fontId="27" fillId="0" borderId="79" xfId="0" applyNumberFormat="1" applyFont="1" applyBorder="1" applyAlignment="1">
      <alignment horizontal="center" vertical="center" wrapText="1"/>
    </xf>
    <xf numFmtId="10" fontId="27" fillId="0" borderId="78" xfId="0" applyNumberFormat="1" applyFont="1" applyBorder="1" applyAlignment="1">
      <alignment horizontal="center" vertical="center" wrapText="1"/>
    </xf>
    <xf numFmtId="0" fontId="27" fillId="0" borderId="78" xfId="0" applyFont="1" applyBorder="1" applyAlignment="1">
      <alignment vertical="center" wrapText="1"/>
    </xf>
    <xf numFmtId="0" fontId="27" fillId="0" borderId="78" xfId="0" applyFont="1" applyBorder="1" applyAlignment="1">
      <alignment horizontal="justify" vertical="center" wrapText="1"/>
    </xf>
    <xf numFmtId="0" fontId="27" fillId="0" borderId="78" xfId="0" applyFont="1" applyBorder="1" applyAlignment="1" applyProtection="1">
      <alignment vertical="center" wrapText="1"/>
      <protection locked="0"/>
    </xf>
    <xf numFmtId="9" fontId="27" fillId="10" borderId="69" xfId="0" applyNumberFormat="1" applyFont="1" applyFill="1" applyBorder="1" applyAlignment="1">
      <alignment horizontal="center" vertical="center" wrapText="1"/>
    </xf>
    <xf numFmtId="0" fontId="27" fillId="0" borderId="56" xfId="0" applyFont="1" applyBorder="1" applyAlignment="1">
      <alignment horizontal="center" vertical="center" wrapText="1"/>
    </xf>
    <xf numFmtId="9" fontId="27" fillId="11" borderId="0" xfId="1" applyFont="1" applyFill="1" applyAlignment="1">
      <alignment horizontal="center" vertical="center" wrapText="1"/>
    </xf>
    <xf numFmtId="9" fontId="27" fillId="0" borderId="0" xfId="1" applyFont="1" applyAlignment="1">
      <alignment vertical="center" wrapText="1"/>
    </xf>
    <xf numFmtId="0" fontId="31" fillId="0" borderId="2" xfId="0" applyFont="1" applyBorder="1" applyAlignment="1">
      <alignment horizontal="center" vertical="center" wrapText="1"/>
    </xf>
    <xf numFmtId="0" fontId="30" fillId="0" borderId="2" xfId="0" applyFont="1" applyBorder="1" applyAlignment="1">
      <alignment vertical="center" wrapText="1"/>
    </xf>
    <xf numFmtId="0" fontId="30" fillId="0" borderId="7" xfId="0" applyFont="1" applyBorder="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0" fillId="0" borderId="13" xfId="0" applyFont="1" applyBorder="1" applyAlignment="1">
      <alignment vertical="center" wrapText="1"/>
    </xf>
    <xf numFmtId="0" fontId="30" fillId="0" borderId="0" xfId="0" applyFont="1" applyAlignment="1">
      <alignment vertical="justify"/>
    </xf>
    <xf numFmtId="0" fontId="31" fillId="0" borderId="0" xfId="0" applyFont="1" applyAlignment="1">
      <alignment horizontal="right" vertical="center" wrapText="1"/>
    </xf>
    <xf numFmtId="0" fontId="31" fillId="0" borderId="0" xfId="0" applyFont="1" applyAlignment="1" applyProtection="1">
      <alignment vertical="center" wrapText="1"/>
      <protection locked="0"/>
    </xf>
    <xf numFmtId="0" fontId="30" fillId="0" borderId="0" xfId="0" applyFont="1" applyAlignment="1" applyProtection="1">
      <alignment vertical="center" wrapText="1"/>
      <protection locked="0"/>
    </xf>
    <xf numFmtId="0" fontId="30" fillId="0" borderId="13" xfId="0" applyFont="1" applyBorder="1" applyAlignment="1" applyProtection="1">
      <alignment vertical="center" wrapText="1"/>
      <protection locked="0"/>
    </xf>
    <xf numFmtId="0" fontId="30" fillId="0" borderId="0" xfId="0" applyFont="1" applyAlignment="1">
      <alignment horizontal="left" vertical="center" wrapText="1"/>
    </xf>
    <xf numFmtId="0" fontId="30" fillId="0" borderId="13" xfId="0" applyFont="1" applyBorder="1" applyAlignment="1">
      <alignment vertical="justify"/>
    </xf>
    <xf numFmtId="9" fontId="31" fillId="0" borderId="20" xfId="0" applyNumberFormat="1"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9" fontId="30" fillId="0" borderId="59" xfId="0" applyNumberFormat="1" applyFont="1" applyBorder="1" applyAlignment="1">
      <alignment horizontal="center" vertical="center" wrapText="1"/>
    </xf>
    <xf numFmtId="9" fontId="30" fillId="0" borderId="60" xfId="0" applyNumberFormat="1"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vertical="center" wrapText="1"/>
    </xf>
    <xf numFmtId="0" fontId="30" fillId="0" borderId="33" xfId="0" applyFont="1" applyBorder="1" applyAlignment="1" applyProtection="1">
      <alignment horizontal="center" vertical="center" wrapText="1"/>
      <protection locked="0"/>
    </xf>
    <xf numFmtId="0" fontId="30" fillId="0" borderId="34" xfId="0" applyFont="1" applyBorder="1" applyAlignment="1" applyProtection="1">
      <alignment horizontal="center" vertical="center" wrapText="1"/>
      <protection locked="0"/>
    </xf>
    <xf numFmtId="0" fontId="30" fillId="0" borderId="35" xfId="0" applyFont="1" applyBorder="1" applyAlignment="1" applyProtection="1">
      <alignment horizontal="justify" vertical="center" wrapText="1"/>
      <protection locked="0"/>
    </xf>
    <xf numFmtId="0" fontId="30" fillId="0" borderId="35" xfId="0" applyFont="1" applyBorder="1" applyAlignment="1" applyProtection="1">
      <alignment vertical="center" wrapText="1"/>
      <protection locked="0"/>
    </xf>
    <xf numFmtId="1" fontId="30" fillId="0" borderId="31" xfId="0" applyNumberFormat="1" applyFont="1" applyBorder="1" applyAlignment="1">
      <alignment horizontal="center" vertical="center" wrapText="1"/>
    </xf>
    <xf numFmtId="0" fontId="30" fillId="0" borderId="31" xfId="0" applyFont="1" applyBorder="1" applyAlignment="1">
      <alignment horizontal="center" vertical="center" wrapText="1"/>
    </xf>
    <xf numFmtId="9" fontId="30" fillId="0" borderId="33" xfId="0" applyNumberFormat="1" applyFont="1" applyBorder="1" applyAlignment="1">
      <alignment horizontal="center" vertical="center" wrapText="1"/>
    </xf>
    <xf numFmtId="9" fontId="30" fillId="0" borderId="30" xfId="0" applyNumberFormat="1" applyFont="1" applyBorder="1" applyAlignment="1">
      <alignment horizontal="center" vertical="center" wrapText="1"/>
    </xf>
    <xf numFmtId="10" fontId="30" fillId="0" borderId="32" xfId="0" applyNumberFormat="1" applyFont="1" applyBorder="1" applyAlignment="1">
      <alignment vertical="center" wrapText="1"/>
    </xf>
    <xf numFmtId="0" fontId="30" fillId="0" borderId="30" xfId="0" applyFont="1" applyBorder="1" applyAlignment="1">
      <alignment vertical="center" wrapText="1"/>
    </xf>
    <xf numFmtId="0" fontId="30" fillId="0" borderId="31" xfId="0" applyFont="1" applyBorder="1" applyAlignment="1">
      <alignment vertical="center" wrapText="1"/>
    </xf>
    <xf numFmtId="0" fontId="30" fillId="0" borderId="32" xfId="0" applyFont="1" applyBorder="1" applyAlignment="1">
      <alignment vertical="center" wrapText="1"/>
    </xf>
    <xf numFmtId="0" fontId="30" fillId="0" borderId="30" xfId="0" applyFont="1" applyBorder="1" applyAlignment="1" applyProtection="1">
      <alignment vertical="center" wrapText="1"/>
      <protection locked="0"/>
    </xf>
    <xf numFmtId="0" fontId="30" fillId="0" borderId="31" xfId="0" applyFont="1" applyBorder="1" applyAlignment="1" applyProtection="1">
      <alignment vertical="center" wrapText="1"/>
      <protection locked="0"/>
    </xf>
    <xf numFmtId="0" fontId="30" fillId="0" borderId="32" xfId="0" applyFont="1" applyBorder="1" applyAlignment="1" applyProtection="1">
      <alignment horizontal="justify" vertical="center" wrapText="1"/>
      <protection locked="0"/>
    </xf>
    <xf numFmtId="0" fontId="30" fillId="0" borderId="32" xfId="0" applyFont="1" applyBorder="1" applyAlignment="1" applyProtection="1">
      <alignment vertical="center" wrapText="1"/>
      <protection locked="0"/>
    </xf>
    <xf numFmtId="0" fontId="30" fillId="0" borderId="32" xfId="0" applyFont="1" applyBorder="1" applyAlignment="1">
      <alignment horizontal="justify" vertical="center" wrapText="1"/>
    </xf>
    <xf numFmtId="0" fontId="30" fillId="0" borderId="49" xfId="0" applyFont="1" applyBorder="1" applyAlignment="1">
      <alignment horizontal="center" vertical="center" wrapText="1"/>
    </xf>
    <xf numFmtId="9" fontId="30" fillId="0" borderId="43" xfId="0" applyNumberFormat="1" applyFont="1" applyBorder="1" applyAlignment="1">
      <alignment horizontal="center" vertical="center" wrapText="1"/>
    </xf>
    <xf numFmtId="10" fontId="30" fillId="0" borderId="45" xfId="0" applyNumberFormat="1" applyFont="1" applyBorder="1" applyAlignment="1">
      <alignment vertical="center" wrapText="1"/>
    </xf>
    <xf numFmtId="0" fontId="30" fillId="0" borderId="44" xfId="0" applyFont="1" applyBorder="1" applyAlignment="1">
      <alignment vertical="center" wrapText="1"/>
    </xf>
    <xf numFmtId="0" fontId="30" fillId="0" borderId="45" xfId="0" applyFont="1" applyBorder="1" applyAlignment="1">
      <alignment vertical="center" wrapText="1"/>
    </xf>
    <xf numFmtId="0" fontId="30" fillId="0" borderId="43" xfId="0" applyFont="1" applyBorder="1" applyAlignment="1" applyProtection="1">
      <alignment vertical="center" wrapText="1"/>
      <protection locked="0"/>
    </xf>
    <xf numFmtId="0" fontId="30" fillId="0" borderId="44" xfId="0" applyFont="1" applyBorder="1" applyAlignment="1" applyProtection="1">
      <alignment vertical="center" wrapText="1"/>
      <protection locked="0"/>
    </xf>
    <xf numFmtId="0" fontId="30" fillId="0" borderId="45" xfId="0" applyFont="1" applyBorder="1" applyAlignment="1" applyProtection="1">
      <alignment horizontal="justify" vertical="center" wrapText="1"/>
      <protection locked="0"/>
    </xf>
    <xf numFmtId="0" fontId="30" fillId="0" borderId="45" xfId="0" applyFont="1" applyBorder="1" applyAlignment="1" applyProtection="1">
      <alignment vertical="center" wrapText="1"/>
      <protection locked="0"/>
    </xf>
    <xf numFmtId="0" fontId="30" fillId="0" borderId="49" xfId="0" applyFont="1" applyBorder="1" applyAlignment="1">
      <alignment vertical="center" wrapText="1"/>
    </xf>
    <xf numFmtId="0" fontId="30" fillId="0" borderId="56" xfId="0" applyFont="1" applyBorder="1" applyAlignment="1">
      <alignment vertical="center" wrapText="1"/>
    </xf>
    <xf numFmtId="0" fontId="30" fillId="0" borderId="69" xfId="0" applyFont="1" applyBorder="1" applyAlignment="1">
      <alignment horizontal="center" vertical="center" wrapText="1"/>
    </xf>
    <xf numFmtId="10" fontId="30" fillId="0" borderId="60" xfId="0" applyNumberFormat="1" applyFont="1" applyBorder="1" applyAlignment="1">
      <alignment vertical="center" wrapText="1"/>
    </xf>
    <xf numFmtId="0" fontId="30" fillId="0" borderId="60" xfId="0" applyFont="1" applyBorder="1" applyAlignment="1">
      <alignment vertical="center" wrapText="1"/>
    </xf>
    <xf numFmtId="0" fontId="30" fillId="0" borderId="57" xfId="0" applyFont="1" applyBorder="1" applyAlignment="1" applyProtection="1">
      <alignment vertical="center" wrapText="1"/>
      <protection locked="0"/>
    </xf>
    <xf numFmtId="0" fontId="30" fillId="0" borderId="49" xfId="0" applyFont="1" applyBorder="1" applyAlignment="1" applyProtection="1">
      <alignment vertical="center" wrapText="1"/>
      <protection locked="0"/>
    </xf>
    <xf numFmtId="0" fontId="30" fillId="0" borderId="56" xfId="0" applyFont="1" applyBorder="1" applyAlignment="1" applyProtection="1">
      <alignment horizontal="justify" vertical="center" wrapText="1"/>
      <protection locked="0"/>
    </xf>
    <xf numFmtId="0" fontId="30" fillId="0" borderId="56" xfId="0" applyFont="1" applyBorder="1" applyAlignment="1" applyProtection="1">
      <alignment vertical="center" wrapText="1"/>
      <protection locked="0"/>
    </xf>
    <xf numFmtId="10" fontId="30" fillId="0" borderId="69" xfId="0" applyNumberFormat="1" applyFont="1" applyBorder="1" applyAlignment="1">
      <alignment vertical="center" wrapText="1"/>
    </xf>
    <xf numFmtId="10" fontId="30" fillId="3" borderId="69" xfId="1" applyNumberFormat="1" applyFont="1" applyFill="1" applyBorder="1" applyAlignment="1">
      <alignment horizontal="center" vertical="center" wrapText="1"/>
    </xf>
    <xf numFmtId="10" fontId="30" fillId="0" borderId="69" xfId="0" applyNumberFormat="1" applyFont="1" applyBorder="1" applyAlignment="1">
      <alignment horizontal="center" vertical="center" wrapText="1"/>
    </xf>
    <xf numFmtId="0" fontId="30" fillId="0" borderId="69" xfId="0" applyFont="1" applyBorder="1" applyAlignment="1">
      <alignment vertical="center" wrapText="1"/>
    </xf>
    <xf numFmtId="0" fontId="30" fillId="0" borderId="69" xfId="0" applyFont="1" applyBorder="1" applyAlignment="1" applyProtection="1">
      <alignment vertical="center" wrapText="1"/>
      <protection locked="0"/>
    </xf>
    <xf numFmtId="0" fontId="30" fillId="0" borderId="69" xfId="0" applyFont="1" applyBorder="1" applyAlignment="1" applyProtection="1">
      <alignment horizontal="justify" vertical="center" wrapText="1"/>
      <protection locked="0"/>
    </xf>
    <xf numFmtId="0" fontId="30" fillId="0" borderId="60" xfId="0" applyFont="1" applyBorder="1" applyAlignment="1" applyProtection="1">
      <alignment vertical="center" wrapText="1"/>
      <protection locked="0"/>
    </xf>
    <xf numFmtId="0" fontId="30" fillId="10" borderId="44" xfId="0" applyFont="1" applyFill="1" applyBorder="1" applyAlignment="1">
      <alignment horizontal="center" vertical="center" wrapText="1"/>
    </xf>
    <xf numFmtId="10" fontId="30" fillId="0" borderId="44" xfId="0" applyNumberFormat="1" applyFont="1" applyBorder="1" applyAlignment="1">
      <alignment vertical="center" wrapText="1"/>
    </xf>
    <xf numFmtId="10" fontId="30" fillId="3" borderId="44" xfId="1" applyNumberFormat="1" applyFont="1" applyFill="1" applyBorder="1" applyAlignment="1">
      <alignment horizontal="center" vertical="center" wrapText="1"/>
    </xf>
    <xf numFmtId="10" fontId="30" fillId="0" borderId="44" xfId="0" applyNumberFormat="1" applyFont="1" applyBorder="1" applyAlignment="1">
      <alignment horizontal="center" vertical="center" wrapText="1"/>
    </xf>
    <xf numFmtId="0" fontId="30" fillId="0" borderId="44" xfId="0" applyFont="1" applyBorder="1" applyAlignment="1" applyProtection="1">
      <alignment horizontal="justify" vertical="center" wrapText="1"/>
      <protection locked="0"/>
    </xf>
    <xf numFmtId="0" fontId="30" fillId="0" borderId="52" xfId="0" applyFont="1" applyBorder="1" applyAlignment="1">
      <alignment vertical="center" wrapText="1"/>
    </xf>
    <xf numFmtId="0" fontId="30" fillId="0" borderId="48" xfId="0" applyFont="1" applyBorder="1" applyAlignment="1">
      <alignment vertical="center" wrapText="1"/>
    </xf>
    <xf numFmtId="0" fontId="30" fillId="0" borderId="47" xfId="0" applyFont="1" applyBorder="1" applyAlignment="1" applyProtection="1">
      <alignment vertical="center" wrapText="1"/>
      <protection locked="0"/>
    </xf>
    <xf numFmtId="0" fontId="30" fillId="0" borderId="52" xfId="0" applyFont="1" applyBorder="1" applyAlignment="1" applyProtection="1">
      <alignment vertical="center" wrapText="1"/>
      <protection locked="0"/>
    </xf>
    <xf numFmtId="0" fontId="30" fillId="0" borderId="48" xfId="0" applyFont="1" applyBorder="1" applyAlignment="1" applyProtection="1">
      <alignment horizontal="justify" vertical="center" wrapText="1"/>
      <protection locked="0"/>
    </xf>
    <xf numFmtId="0" fontId="30" fillId="0" borderId="48" xfId="0" applyFont="1" applyBorder="1" applyAlignment="1" applyProtection="1">
      <alignment vertical="center" wrapText="1"/>
      <protection locked="0"/>
    </xf>
    <xf numFmtId="0" fontId="30" fillId="0" borderId="0" xfId="0" applyFont="1"/>
    <xf numFmtId="49" fontId="30" fillId="0" borderId="0" xfId="0" applyNumberFormat="1" applyFont="1" applyAlignment="1">
      <alignment vertical="center" wrapText="1"/>
    </xf>
    <xf numFmtId="0" fontId="30" fillId="0" borderId="0" xfId="0" applyFont="1" applyAlignment="1">
      <alignment vertical="center"/>
    </xf>
    <xf numFmtId="0" fontId="31" fillId="0" borderId="0" xfId="0" applyFont="1"/>
    <xf numFmtId="0" fontId="30" fillId="0" borderId="0" xfId="0" applyFont="1" applyAlignment="1" applyProtection="1">
      <alignment vertical="center"/>
      <protection locked="0"/>
    </xf>
    <xf numFmtId="0" fontId="30" fillId="0" borderId="0" xfId="0" applyFont="1" applyAlignment="1">
      <alignment horizontal="justify" vertical="center" wrapText="1"/>
    </xf>
    <xf numFmtId="0" fontId="30" fillId="0" borderId="0" xfId="0" applyFont="1" applyAlignment="1">
      <alignment wrapText="1"/>
    </xf>
    <xf numFmtId="1" fontId="30" fillId="0" borderId="69" xfId="0" applyNumberFormat="1" applyFont="1" applyBorder="1" applyAlignment="1">
      <alignment horizontal="center" vertical="center" wrapText="1"/>
    </xf>
    <xf numFmtId="1" fontId="30" fillId="0" borderId="44"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30" fillId="0" borderId="9" xfId="0" applyFont="1" applyBorder="1" applyAlignment="1">
      <alignment horizontal="center" vertical="center" wrapText="1"/>
    </xf>
    <xf numFmtId="0" fontId="31" fillId="0" borderId="16" xfId="0" applyFont="1" applyBorder="1" applyAlignment="1">
      <alignment horizontal="center" vertical="center" wrapText="1"/>
    </xf>
    <xf numFmtId="9" fontId="27" fillId="0" borderId="85" xfId="0" applyNumberFormat="1" applyFont="1" applyBorder="1" applyAlignment="1">
      <alignment horizontal="center" vertical="center" wrapText="1"/>
    </xf>
    <xf numFmtId="1" fontId="27" fillId="0" borderId="85" xfId="0" applyNumberFormat="1" applyFont="1" applyBorder="1" applyAlignment="1">
      <alignment horizontal="center" vertical="center" wrapText="1"/>
    </xf>
    <xf numFmtId="0" fontId="30" fillId="0" borderId="86" xfId="0" applyFont="1" applyBorder="1" applyAlignment="1">
      <alignment horizontal="center" vertical="center" wrapText="1"/>
    </xf>
    <xf numFmtId="0" fontId="30" fillId="0" borderId="77" xfId="0" applyFont="1" applyBorder="1" applyAlignment="1">
      <alignment horizontal="center" vertical="center" wrapText="1"/>
    </xf>
    <xf numFmtId="9" fontId="30" fillId="0" borderId="31" xfId="0" applyNumberFormat="1" applyFont="1" applyBorder="1" applyAlignment="1">
      <alignment horizontal="center" vertical="center" wrapText="1"/>
    </xf>
    <xf numFmtId="10" fontId="30" fillId="0" borderId="31" xfId="0" applyNumberFormat="1" applyFont="1" applyBorder="1" applyAlignment="1">
      <alignment horizontal="center" vertical="center" wrapText="1"/>
    </xf>
    <xf numFmtId="9" fontId="30" fillId="0" borderId="44" xfId="0" applyNumberFormat="1" applyFont="1" applyBorder="1" applyAlignment="1">
      <alignment horizontal="center" vertical="center" wrapText="1"/>
    </xf>
    <xf numFmtId="3" fontId="27" fillId="0" borderId="76" xfId="0" applyNumberFormat="1" applyFont="1" applyBorder="1" applyAlignment="1">
      <alignment horizontal="center" vertical="center" wrapText="1"/>
    </xf>
    <xf numFmtId="3" fontId="27" fillId="0" borderId="14" xfId="0" applyNumberFormat="1" applyFont="1" applyBorder="1" applyAlignment="1">
      <alignment horizontal="center" vertical="center" wrapText="1"/>
    </xf>
    <xf numFmtId="0" fontId="27" fillId="0" borderId="14" xfId="0" applyFont="1" applyBorder="1" applyAlignment="1">
      <alignment horizontal="center" vertical="center" wrapText="1"/>
    </xf>
    <xf numFmtId="0" fontId="27" fillId="0" borderId="86" xfId="0" applyFont="1" applyBorder="1" applyAlignment="1">
      <alignment horizontal="center" vertical="center" wrapText="1"/>
    </xf>
    <xf numFmtId="3" fontId="27" fillId="0" borderId="44" xfId="0" applyNumberFormat="1" applyFont="1" applyBorder="1" applyAlignment="1">
      <alignment horizontal="center" vertical="center" wrapText="1"/>
    </xf>
    <xf numFmtId="0" fontId="27" fillId="0" borderId="2" xfId="0" applyFont="1" applyBorder="1"/>
    <xf numFmtId="10" fontId="27" fillId="0" borderId="74" xfId="0" applyNumberFormat="1" applyFont="1" applyBorder="1" applyAlignment="1">
      <alignment horizontal="center" vertical="center" wrapText="1"/>
    </xf>
    <xf numFmtId="10" fontId="27" fillId="0" borderId="18" xfId="0" applyNumberFormat="1" applyFont="1" applyBorder="1" applyAlignment="1">
      <alignment horizontal="center" vertical="center" wrapText="1"/>
    </xf>
    <xf numFmtId="10" fontId="27" fillId="0" borderId="63" xfId="0" applyNumberFormat="1" applyFont="1" applyBorder="1" applyAlignment="1" applyProtection="1">
      <alignment horizontal="center" vertical="center" wrapText="1"/>
      <protection locked="0"/>
    </xf>
    <xf numFmtId="10" fontId="27" fillId="0" borderId="42" xfId="0" applyNumberFormat="1" applyFont="1" applyBorder="1" applyAlignment="1" applyProtection="1">
      <alignment horizontal="center" vertical="center" wrapText="1"/>
      <protection locked="0"/>
    </xf>
    <xf numFmtId="3" fontId="27" fillId="0" borderId="69" xfId="0" applyNumberFormat="1" applyFont="1" applyBorder="1" applyAlignment="1">
      <alignment horizontal="center" vertical="center" wrapText="1"/>
    </xf>
    <xf numFmtId="3" fontId="27" fillId="0" borderId="31" xfId="0" applyNumberFormat="1" applyFont="1" applyBorder="1" applyAlignment="1">
      <alignment horizontal="center" vertical="center" wrapText="1"/>
    </xf>
    <xf numFmtId="10" fontId="27" fillId="0" borderId="39" xfId="0" applyNumberFormat="1" applyFont="1" applyBorder="1" applyAlignment="1">
      <alignment horizontal="center" vertical="center" wrapText="1"/>
    </xf>
    <xf numFmtId="10" fontId="27" fillId="0" borderId="87" xfId="0" applyNumberFormat="1" applyFont="1" applyBorder="1" applyAlignment="1">
      <alignment horizontal="center" vertical="center" wrapText="1"/>
    </xf>
    <xf numFmtId="0" fontId="27" fillId="0" borderId="77" xfId="0" applyFont="1" applyBorder="1" applyAlignment="1">
      <alignment horizontal="center" vertical="center" wrapText="1"/>
    </xf>
    <xf numFmtId="10" fontId="16" fillId="0" borderId="59" xfId="0" applyNumberFormat="1" applyFont="1" applyBorder="1" applyAlignment="1">
      <alignment horizontal="center" vertical="center" wrapText="1"/>
    </xf>
    <xf numFmtId="10" fontId="16" fillId="0" borderId="30" xfId="0" applyNumberFormat="1" applyFont="1" applyBorder="1" applyAlignment="1">
      <alignment horizontal="center" vertical="center" wrapText="1"/>
    </xf>
    <xf numFmtId="9" fontId="30" fillId="0" borderId="69" xfId="0" applyNumberFormat="1" applyFont="1" applyBorder="1" applyAlignment="1">
      <alignment horizontal="center" vertical="center" wrapText="1"/>
    </xf>
    <xf numFmtId="0" fontId="30" fillId="0" borderId="59" xfId="0" applyFont="1" applyBorder="1" applyAlignment="1" applyProtection="1">
      <alignment horizontal="center" vertical="center" wrapText="1"/>
      <protection locked="0"/>
    </xf>
    <xf numFmtId="0" fontId="30" fillId="0" borderId="69" xfId="0" applyFont="1" applyBorder="1" applyAlignment="1" applyProtection="1">
      <alignment horizontal="center" vertical="center" wrapText="1"/>
      <protection locked="0"/>
    </xf>
    <xf numFmtId="0" fontId="30" fillId="0" borderId="60" xfId="0" applyFont="1" applyBorder="1" applyAlignment="1" applyProtection="1">
      <alignment horizontal="justify" vertical="center" wrapText="1"/>
      <protection locked="0"/>
    </xf>
    <xf numFmtId="0" fontId="30" fillId="0" borderId="31" xfId="1" applyNumberFormat="1" applyFont="1" applyBorder="1" applyAlignment="1">
      <alignment horizontal="center" vertical="center" wrapText="1"/>
    </xf>
    <xf numFmtId="0" fontId="30" fillId="0" borderId="36"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6" xfId="0" applyFont="1" applyBorder="1" applyAlignment="1">
      <alignment horizontal="justify" vertical="center" wrapText="1"/>
    </xf>
    <xf numFmtId="0" fontId="30" fillId="0" borderId="45" xfId="0" applyFont="1" applyBorder="1" applyAlignment="1">
      <alignment horizontal="justify" vertical="center" wrapText="1"/>
    </xf>
    <xf numFmtId="0" fontId="30" fillId="0" borderId="55" xfId="0" applyFont="1" applyBorder="1" applyAlignment="1">
      <alignment horizontal="center" vertical="center" wrapText="1"/>
    </xf>
    <xf numFmtId="0" fontId="30" fillId="0" borderId="62" xfId="0" applyFont="1" applyBorder="1" applyAlignment="1">
      <alignment vertical="center" wrapText="1"/>
    </xf>
    <xf numFmtId="0" fontId="30" fillId="0" borderId="78" xfId="0" applyFont="1" applyBorder="1" applyAlignment="1">
      <alignment vertical="center" wrapText="1"/>
    </xf>
    <xf numFmtId="0" fontId="30" fillId="0" borderId="67" xfId="0" applyFont="1" applyBorder="1" applyAlignment="1" applyProtection="1">
      <alignment vertical="center" wrapText="1"/>
      <protection locked="0"/>
    </xf>
    <xf numFmtId="0" fontId="30" fillId="0" borderId="62" xfId="0" applyFont="1" applyBorder="1" applyAlignment="1" applyProtection="1">
      <alignment vertical="center" wrapText="1"/>
      <protection locked="0"/>
    </xf>
    <xf numFmtId="0" fontId="30" fillId="0" borderId="78" xfId="0" applyFont="1" applyBorder="1" applyAlignment="1">
      <alignment horizontal="justify" vertical="center" wrapText="1"/>
    </xf>
    <xf numFmtId="0" fontId="30" fillId="0" borderId="78" xfId="0" applyFont="1" applyBorder="1" applyAlignment="1" applyProtection="1">
      <alignment vertical="center" wrapText="1"/>
      <protection locked="0"/>
    </xf>
    <xf numFmtId="0" fontId="30" fillId="0" borderId="56" xfId="0" applyFont="1" applyBorder="1" applyAlignment="1">
      <alignment horizontal="center" vertical="center" wrapText="1"/>
    </xf>
    <xf numFmtId="9" fontId="30" fillId="0" borderId="45" xfId="0" applyNumberFormat="1" applyFont="1" applyBorder="1" applyAlignment="1">
      <alignment horizontal="center" vertical="center" wrapText="1"/>
    </xf>
    <xf numFmtId="0" fontId="30" fillId="0" borderId="77" xfId="0" applyFont="1" applyBorder="1" applyAlignment="1">
      <alignment vertical="center" wrapText="1"/>
    </xf>
    <xf numFmtId="0" fontId="30" fillId="0" borderId="46" xfId="0" applyFont="1" applyBorder="1" applyAlignment="1">
      <alignment vertical="center" wrapText="1"/>
    </xf>
    <xf numFmtId="169" fontId="30" fillId="0" borderId="31" xfId="0" applyNumberFormat="1" applyFont="1" applyBorder="1" applyAlignment="1">
      <alignment horizontal="center" vertical="center" wrapText="1"/>
    </xf>
    <xf numFmtId="3" fontId="30" fillId="0" borderId="31" xfId="0" applyNumberFormat="1" applyFont="1" applyBorder="1" applyAlignment="1">
      <alignment horizontal="center" vertical="center" wrapText="1"/>
    </xf>
    <xf numFmtId="9" fontId="30" fillId="0" borderId="32" xfId="0" applyNumberFormat="1" applyFont="1" applyBorder="1" applyAlignment="1">
      <alignment horizontal="center" vertical="center" wrapText="1"/>
    </xf>
    <xf numFmtId="0" fontId="30" fillId="0" borderId="66" xfId="0" applyFont="1" applyBorder="1" applyAlignment="1">
      <alignment vertical="center" wrapText="1"/>
    </xf>
    <xf numFmtId="0" fontId="30" fillId="0" borderId="64" xfId="0" applyFont="1" applyBorder="1" applyAlignment="1" applyProtection="1">
      <alignment vertical="center" wrapText="1"/>
      <protection locked="0"/>
    </xf>
    <xf numFmtId="0" fontId="30" fillId="0" borderId="66" xfId="0" applyFont="1" applyBorder="1" applyAlignment="1">
      <alignment horizontal="justify" vertical="center" wrapText="1"/>
    </xf>
    <xf numFmtId="0" fontId="30" fillId="0" borderId="66" xfId="0" applyFont="1" applyBorder="1" applyAlignment="1" applyProtection="1">
      <alignment vertical="center" wrapText="1"/>
      <protection locked="0"/>
    </xf>
    <xf numFmtId="0" fontId="30" fillId="0" borderId="66" xfId="0" applyFont="1" applyBorder="1" applyAlignment="1" applyProtection="1">
      <alignment horizontal="justify" vertical="center" wrapText="1"/>
      <protection locked="0"/>
    </xf>
    <xf numFmtId="0" fontId="30" fillId="0" borderId="41" xfId="0" applyFont="1" applyBorder="1" applyAlignment="1">
      <alignment vertical="center" wrapText="1"/>
    </xf>
    <xf numFmtId="0" fontId="30" fillId="0" borderId="65" xfId="0" applyFont="1" applyBorder="1" applyAlignment="1" applyProtection="1">
      <alignment horizontal="center" vertical="center" wrapText="1"/>
      <protection locked="0"/>
    </xf>
    <xf numFmtId="0" fontId="30" fillId="0" borderId="55" xfId="0" applyFont="1" applyBorder="1" applyAlignment="1" applyProtection="1">
      <alignment horizontal="center" vertical="center" wrapText="1"/>
      <protection locked="0"/>
    </xf>
    <xf numFmtId="0" fontId="30" fillId="0" borderId="41" xfId="0" applyFont="1" applyBorder="1" applyAlignment="1" applyProtection="1">
      <alignment horizontal="justify" vertical="center" wrapText="1"/>
      <protection locked="0"/>
    </xf>
    <xf numFmtId="0" fontId="30" fillId="0" borderId="41" xfId="0" applyFont="1" applyBorder="1" applyAlignment="1" applyProtection="1">
      <alignment vertical="center" wrapText="1"/>
      <protection locked="0"/>
    </xf>
    <xf numFmtId="0" fontId="30" fillId="0" borderId="86" xfId="0" applyFont="1" applyBorder="1" applyAlignment="1">
      <alignment vertical="center" wrapText="1"/>
    </xf>
    <xf numFmtId="0" fontId="30" fillId="0" borderId="14" xfId="0" applyFont="1" applyBorder="1" applyAlignment="1">
      <alignment vertical="center" wrapText="1"/>
    </xf>
    <xf numFmtId="0" fontId="30" fillId="0" borderId="31" xfId="0" applyFont="1" applyBorder="1" applyAlignment="1" applyProtection="1">
      <alignment horizontal="justify" vertical="center" wrapText="1"/>
      <protection locked="0"/>
    </xf>
    <xf numFmtId="0" fontId="30" fillId="0" borderId="59" xfId="0" applyFont="1" applyBorder="1" applyAlignment="1" applyProtection="1">
      <alignment vertical="center" wrapText="1"/>
      <protection locked="0"/>
    </xf>
    <xf numFmtId="0" fontId="30" fillId="0" borderId="60" xfId="0" applyFont="1" applyBorder="1" applyAlignment="1">
      <alignment horizontal="justify" vertical="center" wrapText="1"/>
    </xf>
    <xf numFmtId="0" fontId="30" fillId="10" borderId="31" xfId="0" applyFont="1" applyFill="1" applyBorder="1" applyAlignment="1">
      <alignment horizontal="center" vertical="center" wrapText="1"/>
    </xf>
    <xf numFmtId="1" fontId="30" fillId="0" borderId="31" xfId="1" applyNumberFormat="1" applyFont="1" applyBorder="1" applyAlignment="1">
      <alignment horizontal="center" vertical="center" wrapText="1"/>
    </xf>
    <xf numFmtId="1" fontId="30" fillId="0" borderId="44" xfId="1" applyNumberFormat="1" applyFont="1" applyBorder="1" applyAlignment="1">
      <alignment horizontal="center" vertical="center" wrapText="1"/>
    </xf>
    <xf numFmtId="9" fontId="30" fillId="0" borderId="31" xfId="1" applyFont="1" applyBorder="1" applyAlignment="1">
      <alignment horizontal="center" vertical="center" wrapText="1"/>
    </xf>
    <xf numFmtId="0" fontId="30" fillId="0" borderId="55" xfId="0" applyFont="1" applyBorder="1" applyAlignment="1">
      <alignment vertical="center" wrapText="1"/>
    </xf>
    <xf numFmtId="0" fontId="30" fillId="0" borderId="55" xfId="0" applyFont="1" applyBorder="1" applyAlignment="1" applyProtection="1">
      <alignment vertical="center" wrapText="1"/>
      <protection locked="0"/>
    </xf>
    <xf numFmtId="0" fontId="30" fillId="0" borderId="55" xfId="0" applyFont="1" applyBorder="1" applyAlignment="1" applyProtection="1">
      <alignment horizontal="justify" vertical="center" wrapText="1"/>
      <protection locked="0"/>
    </xf>
    <xf numFmtId="0" fontId="30" fillId="0" borderId="0" xfId="0" applyFont="1" applyAlignment="1" applyProtection="1">
      <alignment horizontal="justify" vertical="center" wrapText="1"/>
      <protection locked="0"/>
    </xf>
    <xf numFmtId="0" fontId="30" fillId="0" borderId="17" xfId="0" applyFont="1" applyBorder="1" applyAlignment="1">
      <alignment vertical="center" wrapText="1"/>
    </xf>
    <xf numFmtId="0" fontId="30" fillId="0" borderId="61" xfId="0" applyFont="1" applyBorder="1" applyAlignment="1">
      <alignment vertical="center" wrapText="1"/>
    </xf>
    <xf numFmtId="0" fontId="30" fillId="0" borderId="17" xfId="0" applyFont="1" applyBorder="1" applyAlignment="1" applyProtection="1">
      <alignment vertical="center" wrapText="1"/>
      <protection locked="0"/>
    </xf>
    <xf numFmtId="0" fontId="30" fillId="0" borderId="61" xfId="0" applyFont="1" applyBorder="1" applyAlignment="1" applyProtection="1">
      <alignment horizontal="justify" vertical="center" wrapText="1"/>
      <protection locked="0"/>
    </xf>
    <xf numFmtId="0" fontId="30" fillId="0" borderId="61" xfId="0" applyFont="1" applyBorder="1" applyAlignment="1" applyProtection="1">
      <alignment vertical="center" wrapText="1"/>
      <protection locked="0"/>
    </xf>
    <xf numFmtId="0" fontId="30" fillId="12" borderId="31" xfId="0" applyFont="1" applyFill="1" applyBorder="1" applyAlignment="1">
      <alignment horizontal="center" vertical="center" wrapText="1"/>
    </xf>
    <xf numFmtId="0" fontId="30" fillId="0" borderId="9" xfId="0" applyFont="1" applyBorder="1" applyAlignment="1">
      <alignment vertical="center" wrapText="1"/>
    </xf>
    <xf numFmtId="10" fontId="30" fillId="0" borderId="60" xfId="0" applyNumberFormat="1" applyFont="1" applyBorder="1" applyAlignment="1" applyProtection="1">
      <alignment horizontal="center" vertical="center" wrapText="1"/>
      <protection locked="0"/>
    </xf>
    <xf numFmtId="10" fontId="30" fillId="0" borderId="45" xfId="0" applyNumberFormat="1" applyFont="1" applyBorder="1" applyAlignment="1" applyProtection="1">
      <alignment horizontal="center" vertical="center" wrapText="1"/>
      <protection locked="0"/>
    </xf>
    <xf numFmtId="10" fontId="30" fillId="0" borderId="31" xfId="0" applyNumberFormat="1" applyFont="1" applyBorder="1" applyAlignment="1">
      <alignment vertical="center" wrapText="1"/>
    </xf>
    <xf numFmtId="10" fontId="30" fillId="3" borderId="31" xfId="1" applyNumberFormat="1" applyFont="1" applyFill="1" applyBorder="1" applyAlignment="1">
      <alignment horizontal="center" vertical="center" wrapText="1"/>
    </xf>
    <xf numFmtId="1" fontId="30" fillId="0" borderId="69" xfId="1" applyNumberFormat="1" applyFont="1" applyBorder="1" applyAlignment="1">
      <alignment horizontal="center" vertical="center" wrapText="1"/>
    </xf>
    <xf numFmtId="10" fontId="30" fillId="0" borderId="32" xfId="0" applyNumberFormat="1" applyFont="1" applyBorder="1" applyAlignment="1" applyProtection="1">
      <alignment horizontal="center" vertical="center" wrapText="1"/>
      <protection locked="0"/>
    </xf>
    <xf numFmtId="1" fontId="30" fillId="10" borderId="31" xfId="0" applyNumberFormat="1" applyFont="1" applyFill="1" applyBorder="1" applyAlignment="1">
      <alignment horizontal="center" vertical="center" wrapText="1"/>
    </xf>
    <xf numFmtId="10" fontId="27" fillId="0" borderId="69" xfId="0" applyNumberFormat="1" applyFont="1" applyBorder="1" applyAlignment="1">
      <alignment horizontal="center" vertical="center" wrapText="1"/>
    </xf>
    <xf numFmtId="10" fontId="27" fillId="0" borderId="60" xfId="0" applyNumberFormat="1" applyFont="1" applyBorder="1" applyAlignment="1" applyProtection="1">
      <alignment horizontal="center" vertical="center" wrapText="1"/>
      <protection locked="0"/>
    </xf>
    <xf numFmtId="0" fontId="30" fillId="0" borderId="39" xfId="0" applyFont="1" applyBorder="1" applyAlignment="1">
      <alignment vertical="center" wrapText="1"/>
    </xf>
    <xf numFmtId="0" fontId="30" fillId="0" borderId="9" xfId="0" applyFont="1" applyBorder="1" applyAlignment="1" applyProtection="1">
      <alignment vertical="center" wrapText="1"/>
      <protection locked="0"/>
    </xf>
    <xf numFmtId="0" fontId="30" fillId="0" borderId="39" xfId="0" applyFont="1" applyBorder="1" applyAlignment="1" applyProtection="1">
      <alignment vertical="center" wrapText="1"/>
      <protection locked="0"/>
    </xf>
    <xf numFmtId="0" fontId="30" fillId="0" borderId="31" xfId="0" applyFont="1" applyBorder="1" applyAlignment="1" applyProtection="1">
      <alignment horizontal="center" vertical="center" wrapText="1"/>
      <protection locked="0"/>
    </xf>
    <xf numFmtId="0" fontId="30" fillId="0" borderId="3" xfId="0" applyFont="1" applyBorder="1" applyAlignment="1">
      <alignment vertical="center" wrapText="1"/>
    </xf>
    <xf numFmtId="9" fontId="30" fillId="0" borderId="56" xfId="0" applyNumberFormat="1" applyFont="1" applyBorder="1" applyAlignment="1">
      <alignment vertical="center" wrapText="1"/>
    </xf>
    <xf numFmtId="0" fontId="30" fillId="0" borderId="87" xfId="0" applyFont="1" applyBorder="1" applyAlignment="1">
      <alignment horizontal="center" vertical="center" wrapText="1"/>
    </xf>
    <xf numFmtId="9" fontId="30" fillId="10" borderId="31" xfId="0" applyNumberFormat="1" applyFont="1" applyFill="1" applyBorder="1" applyAlignment="1">
      <alignment horizontal="center" vertical="center" wrapText="1"/>
    </xf>
    <xf numFmtId="3" fontId="30" fillId="0" borderId="31" xfId="1" applyNumberFormat="1" applyFont="1" applyBorder="1" applyAlignment="1">
      <alignment horizontal="center" vertical="center" wrapText="1"/>
    </xf>
    <xf numFmtId="0" fontId="27" fillId="0" borderId="36"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1" fontId="27" fillId="0" borderId="69"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1" fontId="27" fillId="0" borderId="44" xfId="0" applyNumberFormat="1" applyFont="1" applyBorder="1" applyAlignment="1">
      <alignment horizontal="center" vertical="center" wrapText="1"/>
    </xf>
    <xf numFmtId="1" fontId="27" fillId="0" borderId="49" xfId="0" applyNumberFormat="1" applyFont="1" applyBorder="1" applyAlignment="1">
      <alignment horizontal="center" vertical="center" wrapText="1"/>
    </xf>
    <xf numFmtId="0" fontId="27" fillId="0" borderId="43" xfId="0" applyFont="1" applyBorder="1" applyAlignment="1">
      <alignment horizontal="center" vertical="center" wrapText="1"/>
    </xf>
    <xf numFmtId="0" fontId="27" fillId="0" borderId="31" xfId="0" applyFont="1" applyBorder="1" applyAlignment="1">
      <alignment horizontal="center" vertical="center" wrapText="1"/>
    </xf>
    <xf numFmtId="1" fontId="27" fillId="0" borderId="34" xfId="0" applyNumberFormat="1" applyFont="1" applyBorder="1" applyAlignment="1">
      <alignment horizontal="center" vertical="center" wrapText="1"/>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9" fontId="27" fillId="0" borderId="34" xfId="0" applyNumberFormat="1" applyFont="1" applyBorder="1" applyAlignment="1">
      <alignment horizontal="center" vertical="center" wrapText="1"/>
    </xf>
    <xf numFmtId="0" fontId="27" fillId="0" borderId="44" xfId="0" applyFont="1" applyBorder="1" applyAlignment="1">
      <alignment horizontal="center" vertical="center" wrapText="1"/>
    </xf>
    <xf numFmtId="9" fontId="27" fillId="0" borderId="44" xfId="0" applyNumberFormat="1" applyFont="1" applyBorder="1" applyAlignment="1">
      <alignment horizontal="center" vertical="center" wrapText="1"/>
    </xf>
    <xf numFmtId="0" fontId="30" fillId="0" borderId="13" xfId="0" applyFont="1" applyBorder="1" applyAlignment="1" applyProtection="1">
      <alignment horizontal="center" vertical="center" wrapText="1"/>
      <protection locked="0"/>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10" fontId="27" fillId="0" borderId="84" xfId="0" applyNumberFormat="1" applyFont="1" applyBorder="1" applyAlignment="1">
      <alignment horizontal="center" vertical="center" wrapText="1"/>
    </xf>
    <xf numFmtId="0" fontId="27" fillId="0" borderId="84" xfId="0" applyFont="1" applyBorder="1" applyAlignment="1" applyProtection="1">
      <alignment vertical="center" wrapText="1"/>
      <protection locked="0"/>
    </xf>
    <xf numFmtId="0" fontId="27" fillId="0" borderId="85" xfId="0" applyFont="1" applyBorder="1" applyAlignment="1" applyProtection="1">
      <alignment vertical="center" wrapText="1"/>
      <protection locked="0"/>
    </xf>
    <xf numFmtId="0" fontId="27" fillId="0" borderId="78" xfId="0" applyFont="1" applyBorder="1" applyAlignment="1" applyProtection="1">
      <alignment horizontal="justify" vertical="center" wrapText="1"/>
      <protection locked="0"/>
    </xf>
    <xf numFmtId="0" fontId="30" fillId="0" borderId="30"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0" xfId="0" applyFont="1" applyAlignment="1">
      <alignment horizontal="center" vertical="center" wrapText="1"/>
    </xf>
    <xf numFmtId="0" fontId="30" fillId="0" borderId="69" xfId="0" applyFont="1" applyBorder="1" applyAlignment="1">
      <alignment horizontal="center" vertical="center" wrapText="1"/>
    </xf>
    <xf numFmtId="0" fontId="30" fillId="0" borderId="33" xfId="0" applyFont="1" applyBorder="1" applyAlignment="1">
      <alignment horizontal="center" vertical="center" wrapText="1"/>
    </xf>
    <xf numFmtId="0" fontId="30" fillId="10" borderId="43" xfId="0" applyFont="1" applyFill="1" applyBorder="1" applyAlignment="1">
      <alignment horizontal="center" vertical="center" wrapText="1"/>
    </xf>
    <xf numFmtId="0" fontId="27" fillId="0" borderId="5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84"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30" fillId="0" borderId="43" xfId="0" applyFont="1" applyBorder="1" applyAlignment="1">
      <alignment horizontal="center" vertical="center" wrapText="1"/>
    </xf>
    <xf numFmtId="9" fontId="30" fillId="0" borderId="0" xfId="1" applyFont="1" applyAlignment="1" applyProtection="1">
      <alignment vertical="center" wrapText="1"/>
      <protection locked="0"/>
    </xf>
    <xf numFmtId="10" fontId="30" fillId="0" borderId="32" xfId="1" applyNumberFormat="1" applyFont="1" applyBorder="1" applyAlignment="1">
      <alignment vertical="center" wrapText="1"/>
    </xf>
    <xf numFmtId="0" fontId="30" fillId="0" borderId="7"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0" xfId="0" applyFont="1" applyAlignment="1" applyProtection="1">
      <alignment horizontal="center" vertical="center" wrapText="1"/>
      <protection locked="0"/>
    </xf>
    <xf numFmtId="0" fontId="30" fillId="0" borderId="0" xfId="0" applyFont="1" applyAlignment="1">
      <alignment horizontal="center" vertical="justify"/>
    </xf>
    <xf numFmtId="0" fontId="30" fillId="0" borderId="13" xfId="0" applyFont="1" applyBorder="1" applyAlignment="1">
      <alignment horizontal="center" vertical="justify"/>
    </xf>
    <xf numFmtId="0" fontId="30" fillId="0" borderId="60" xfId="0" applyFont="1" applyBorder="1" applyAlignment="1" applyProtection="1">
      <alignment horizontal="center" vertical="center" wrapText="1"/>
      <protection locked="0"/>
    </xf>
    <xf numFmtId="9" fontId="30" fillId="0" borderId="0" xfId="1" applyFont="1" applyAlignment="1" applyProtection="1">
      <alignment horizontal="center" vertical="center" wrapText="1"/>
      <protection locked="0"/>
    </xf>
    <xf numFmtId="0" fontId="30" fillId="0" borderId="30" xfId="0" applyFont="1" applyBorder="1" applyAlignment="1" applyProtection="1">
      <alignment horizontal="center" vertical="center" wrapText="1"/>
      <protection locked="0"/>
    </xf>
    <xf numFmtId="0" fontId="30" fillId="0" borderId="32" xfId="0" applyFont="1" applyBorder="1" applyAlignment="1" applyProtection="1">
      <alignment horizontal="center" vertical="center" wrapText="1"/>
      <protection locked="0"/>
    </xf>
    <xf numFmtId="0" fontId="30" fillId="0" borderId="43" xfId="0" applyFont="1" applyBorder="1" applyAlignment="1" applyProtection="1">
      <alignment horizontal="center" vertical="center" wrapText="1"/>
      <protection locked="0"/>
    </xf>
    <xf numFmtId="0" fontId="30" fillId="0" borderId="44" xfId="0" applyFont="1" applyBorder="1" applyAlignment="1" applyProtection="1">
      <alignment horizontal="center" vertical="center" wrapText="1"/>
      <protection locked="0"/>
    </xf>
    <xf numFmtId="0" fontId="30" fillId="0" borderId="45" xfId="0" applyFont="1" applyBorder="1" applyAlignment="1" applyProtection="1">
      <alignment horizontal="center" vertical="center" wrapText="1"/>
      <protection locked="0"/>
    </xf>
    <xf numFmtId="0" fontId="30" fillId="0" borderId="35" xfId="0" applyFont="1" applyBorder="1"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30" fillId="0" borderId="0" xfId="0" applyFont="1" applyAlignment="1">
      <alignment horizontal="center" vertical="center"/>
    </xf>
    <xf numFmtId="1" fontId="30" fillId="0" borderId="31" xfId="0" applyNumberFormat="1" applyFont="1" applyBorder="1" applyAlignment="1">
      <alignment horizontal="center" vertical="center" wrapText="1"/>
    </xf>
    <xf numFmtId="1" fontId="30" fillId="0" borderId="44" xfId="0" applyNumberFormat="1" applyFont="1" applyBorder="1" applyAlignment="1">
      <alignment horizontal="center" vertical="center" wrapText="1"/>
    </xf>
    <xf numFmtId="9" fontId="30" fillId="0" borderId="44" xfId="0" applyNumberFormat="1" applyFont="1" applyBorder="1" applyAlignment="1">
      <alignment horizontal="center" vertical="center" wrapText="1"/>
    </xf>
    <xf numFmtId="0" fontId="30" fillId="0" borderId="69" xfId="0" applyFont="1" applyBorder="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center" vertical="center" wrapText="1"/>
    </xf>
    <xf numFmtId="9" fontId="30" fillId="0" borderId="69" xfId="1" applyFont="1" applyBorder="1" applyAlignment="1">
      <alignment horizontal="center" vertical="center" wrapText="1"/>
    </xf>
    <xf numFmtId="1" fontId="30" fillId="0" borderId="69"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31" xfId="0" applyFont="1" applyBorder="1" applyAlignment="1">
      <alignment horizontal="center" vertical="center" wrapText="1"/>
    </xf>
    <xf numFmtId="1" fontId="27" fillId="0" borderId="55" xfId="0" applyNumberFormat="1" applyFont="1" applyBorder="1" applyAlignment="1">
      <alignment horizontal="center" vertical="center" wrapText="1"/>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0" fontId="27" fillId="0" borderId="44" xfId="0" applyFont="1" applyBorder="1" applyAlignment="1">
      <alignment horizontal="center" vertical="center" wrapText="1"/>
    </xf>
    <xf numFmtId="164" fontId="30" fillId="0" borderId="43" xfId="38" applyFont="1" applyBorder="1" applyAlignment="1" applyProtection="1">
      <alignment horizontal="center" vertical="center" wrapText="1"/>
      <protection locked="0"/>
    </xf>
    <xf numFmtId="164" fontId="30" fillId="0" borderId="44" xfId="38" applyFont="1" applyBorder="1" applyAlignment="1" applyProtection="1">
      <alignment horizontal="center" vertical="center" wrapText="1"/>
      <protection locked="0"/>
    </xf>
    <xf numFmtId="9" fontId="30" fillId="0" borderId="98" xfId="0" applyNumberFormat="1" applyFont="1" applyBorder="1" applyAlignment="1">
      <alignment horizontal="center" vertical="center" wrapText="1"/>
    </xf>
    <xf numFmtId="9" fontId="30" fillId="0" borderId="46" xfId="0" applyNumberFormat="1" applyFont="1" applyBorder="1" applyAlignment="1">
      <alignment horizontal="center" vertical="center" wrapText="1"/>
    </xf>
    <xf numFmtId="170" fontId="30" fillId="0" borderId="32" xfId="0" applyNumberFormat="1" applyFont="1" applyBorder="1" applyAlignment="1">
      <alignment horizontal="center" vertical="center" wrapText="1"/>
    </xf>
    <xf numFmtId="0" fontId="30" fillId="0" borderId="0" xfId="0" applyFont="1" applyAlignment="1">
      <alignment horizontal="center"/>
    </xf>
    <xf numFmtId="0" fontId="30" fillId="0" borderId="0" xfId="0" applyFont="1" applyAlignment="1">
      <alignment horizontal="center" wrapText="1"/>
    </xf>
    <xf numFmtId="9" fontId="30" fillId="0" borderId="3" xfId="1" applyFont="1" applyBorder="1" applyAlignment="1">
      <alignment horizontal="center" vertical="center" wrapText="1"/>
    </xf>
    <xf numFmtId="0" fontId="30" fillId="0" borderId="85" xfId="0" applyFont="1" applyBorder="1" applyAlignment="1">
      <alignment horizontal="center" vertical="center" wrapText="1"/>
    </xf>
    <xf numFmtId="10" fontId="30" fillId="0" borderId="78" xfId="0" applyNumberFormat="1" applyFont="1" applyBorder="1" applyAlignment="1">
      <alignment vertical="center" wrapText="1"/>
    </xf>
    <xf numFmtId="9" fontId="30" fillId="0" borderId="84" xfId="1" applyFont="1" applyBorder="1" applyAlignment="1">
      <alignment horizontal="center" vertical="center" wrapText="1"/>
    </xf>
    <xf numFmtId="1" fontId="30" fillId="0" borderId="34" xfId="0" applyNumberFormat="1" applyFont="1" applyBorder="1" applyAlignment="1">
      <alignment horizontal="center" vertical="center" wrapText="1"/>
    </xf>
    <xf numFmtId="9" fontId="30" fillId="10" borderId="35" xfId="0" applyNumberFormat="1" applyFont="1" applyFill="1" applyBorder="1" applyAlignment="1">
      <alignment horizontal="center" vertical="center" wrapText="1"/>
    </xf>
    <xf numFmtId="9" fontId="30" fillId="0" borderId="30" xfId="0" applyNumberFormat="1" applyFont="1" applyBorder="1" applyAlignment="1" applyProtection="1">
      <alignment horizontal="center" vertical="center" wrapText="1"/>
      <protection locked="0"/>
    </xf>
    <xf numFmtId="9" fontId="30" fillId="0" borderId="76" xfId="0" applyNumberFormat="1" applyFont="1" applyBorder="1" applyAlignment="1">
      <alignment horizontal="center" vertical="center" wrapText="1"/>
    </xf>
    <xf numFmtId="9" fontId="30" fillId="0" borderId="11" xfId="0" applyNumberFormat="1" applyFont="1" applyBorder="1" applyAlignment="1">
      <alignment horizontal="center" vertical="center" wrapText="1"/>
    </xf>
    <xf numFmtId="9" fontId="30" fillId="0" borderId="19" xfId="0" applyNumberFormat="1" applyFont="1" applyBorder="1" applyAlignment="1">
      <alignment horizontal="center" vertical="center" wrapText="1"/>
    </xf>
    <xf numFmtId="9" fontId="30" fillId="0" borderId="50" xfId="0" applyNumberFormat="1" applyFont="1" applyBorder="1" applyAlignment="1">
      <alignment horizontal="center" vertical="center" wrapText="1"/>
    </xf>
    <xf numFmtId="0" fontId="30" fillId="0" borderId="72" xfId="0" applyFont="1" applyBorder="1" applyAlignment="1" applyProtection="1">
      <alignment horizontal="center" vertical="center" wrapText="1"/>
      <protection locked="0"/>
    </xf>
    <xf numFmtId="9" fontId="30" fillId="0" borderId="45" xfId="0" applyNumberFormat="1" applyFont="1" applyBorder="1" applyAlignment="1" applyProtection="1">
      <alignment horizontal="center" vertical="center" wrapText="1"/>
      <protection locked="0"/>
    </xf>
    <xf numFmtId="0" fontId="27" fillId="0" borderId="0" xfId="0" applyFont="1" applyAlignment="1">
      <alignment horizontal="center" vertical="justify"/>
    </xf>
    <xf numFmtId="0" fontId="27" fillId="0" borderId="85" xfId="0" applyFont="1" applyBorder="1" applyAlignment="1">
      <alignment horizontal="center" vertical="center" wrapText="1"/>
    </xf>
    <xf numFmtId="0" fontId="27" fillId="0" borderId="0" xfId="0" applyFont="1" applyAlignment="1">
      <alignment horizontal="center" vertical="center"/>
    </xf>
    <xf numFmtId="0" fontId="30" fillId="0" borderId="30" xfId="0" applyFont="1" applyBorder="1" applyAlignment="1">
      <alignment horizontal="center" vertical="center" wrapText="1"/>
    </xf>
    <xf numFmtId="1" fontId="30" fillId="0" borderId="31" xfId="0" applyNumberFormat="1" applyFont="1" applyBorder="1" applyAlignment="1">
      <alignment horizontal="center" vertical="center" wrapText="1"/>
    </xf>
    <xf numFmtId="9" fontId="30" fillId="0" borderId="69" xfId="1" applyFont="1" applyBorder="1" applyAlignment="1">
      <alignment horizontal="center" vertical="center" wrapText="1"/>
    </xf>
    <xf numFmtId="9" fontId="30" fillId="0" borderId="31" xfId="1" applyFont="1" applyBorder="1" applyAlignment="1">
      <alignment horizontal="center" vertical="center" wrapText="1"/>
    </xf>
    <xf numFmtId="0" fontId="30" fillId="0" borderId="59"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0" xfId="0" applyFont="1" applyAlignment="1">
      <alignment horizontal="center" vertical="center" wrapText="1"/>
    </xf>
    <xf numFmtId="0" fontId="30" fillId="0" borderId="69"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9" fontId="30" fillId="0" borderId="31" xfId="0" applyNumberFormat="1" applyFont="1" applyBorder="1" applyAlignment="1">
      <alignment horizontal="center" vertical="center" wrapText="1"/>
    </xf>
    <xf numFmtId="9" fontId="30" fillId="0" borderId="44" xfId="1" applyFont="1" applyBorder="1" applyAlignment="1">
      <alignment horizontal="center" vertical="center" wrapText="1"/>
    </xf>
    <xf numFmtId="0" fontId="30" fillId="0" borderId="82" xfId="0" applyFont="1" applyBorder="1" applyAlignment="1">
      <alignment horizontal="center" vertical="center" wrapText="1"/>
    </xf>
    <xf numFmtId="1" fontId="30" fillId="0" borderId="47" xfId="0" applyNumberFormat="1" applyFont="1" applyBorder="1" applyAlignment="1">
      <alignment horizontal="center" vertical="center" wrapText="1"/>
    </xf>
    <xf numFmtId="9" fontId="30" fillId="0" borderId="85" xfId="1" applyFont="1" applyBorder="1" applyAlignment="1">
      <alignment horizontal="center" vertical="center" wrapText="1"/>
    </xf>
    <xf numFmtId="9" fontId="30" fillId="0" borderId="52" xfId="1" applyFont="1" applyBorder="1" applyAlignment="1">
      <alignment horizontal="center" vertical="center" wrapText="1"/>
    </xf>
    <xf numFmtId="0" fontId="27" fillId="0" borderId="34"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1" fontId="27" fillId="0" borderId="69"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1" fontId="27" fillId="0" borderId="44" xfId="0" applyNumberFormat="1" applyFont="1" applyBorder="1" applyAlignment="1">
      <alignment horizontal="center" vertical="center" wrapText="1"/>
    </xf>
    <xf numFmtId="9" fontId="27" fillId="0" borderId="44" xfId="1" applyFont="1" applyBorder="1" applyAlignment="1">
      <alignment horizontal="center" vertical="center" wrapText="1"/>
    </xf>
    <xf numFmtId="0" fontId="27" fillId="0" borderId="30" xfId="0" applyFont="1" applyBorder="1" applyAlignment="1">
      <alignment horizontal="center" vertical="center" wrapText="1"/>
    </xf>
    <xf numFmtId="1" fontId="27" fillId="0" borderId="52" xfId="0" applyNumberFormat="1" applyFont="1" applyBorder="1" applyAlignment="1">
      <alignment horizontal="center" vertical="center" wrapText="1"/>
    </xf>
    <xf numFmtId="0" fontId="27" fillId="0" borderId="31" xfId="0" applyFont="1" applyBorder="1" applyAlignment="1">
      <alignment horizontal="center" vertical="center" wrapText="1"/>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1" fontId="27" fillId="0" borderId="65" xfId="0" applyNumberFormat="1" applyFont="1" applyBorder="1" applyAlignment="1">
      <alignment horizontal="center" vertical="center" wrapText="1"/>
    </xf>
    <xf numFmtId="1" fontId="27" fillId="0" borderId="34" xfId="0" applyNumberFormat="1" applyFont="1" applyBorder="1" applyAlignment="1">
      <alignment horizontal="center" vertical="center" wrapText="1"/>
    </xf>
    <xf numFmtId="9" fontId="27" fillId="0" borderId="34" xfId="1" applyFont="1" applyBorder="1" applyAlignment="1">
      <alignment horizontal="center" vertical="center" wrapText="1"/>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30" fillId="0" borderId="56" xfId="0" applyNumberFormat="1" applyFont="1" applyBorder="1" applyAlignment="1">
      <alignment horizontal="center" vertical="center" wrapText="1"/>
    </xf>
    <xf numFmtId="9" fontId="30" fillId="0" borderId="83" xfId="0" applyNumberFormat="1" applyFont="1" applyBorder="1" applyAlignment="1">
      <alignment horizontal="center" vertical="center" wrapText="1"/>
    </xf>
    <xf numFmtId="9" fontId="30" fillId="0" borderId="57" xfId="0" applyNumberFormat="1" applyFont="1" applyBorder="1" applyAlignment="1">
      <alignment horizontal="center" vertical="center" wrapText="1"/>
    </xf>
    <xf numFmtId="164" fontId="30" fillId="0" borderId="31" xfId="38" applyFont="1" applyBorder="1" applyAlignment="1">
      <alignment horizontal="center" vertical="center" wrapText="1"/>
    </xf>
    <xf numFmtId="10" fontId="30" fillId="0" borderId="74" xfId="0" applyNumberFormat="1" applyFont="1" applyBorder="1" applyAlignment="1">
      <alignment vertical="center" wrapText="1"/>
    </xf>
    <xf numFmtId="10" fontId="30" fillId="0" borderId="18" xfId="0" applyNumberFormat="1" applyFont="1" applyBorder="1" applyAlignment="1">
      <alignment vertical="center" wrapText="1"/>
    </xf>
    <xf numFmtId="9" fontId="30" fillId="0" borderId="59" xfId="1" applyFont="1" applyBorder="1" applyAlignment="1">
      <alignment horizontal="center" vertical="center" wrapText="1"/>
    </xf>
    <xf numFmtId="9" fontId="30" fillId="0" borderId="30" xfId="1" applyFont="1" applyBorder="1" applyAlignment="1">
      <alignment horizontal="center" vertical="center" wrapText="1"/>
    </xf>
    <xf numFmtId="164" fontId="30" fillId="0" borderId="30" xfId="38" applyFont="1" applyBorder="1" applyAlignment="1">
      <alignment horizontal="center" vertical="center" wrapText="1"/>
    </xf>
    <xf numFmtId="0" fontId="30" fillId="0" borderId="2" xfId="0" applyFont="1" applyBorder="1" applyAlignment="1">
      <alignment horizontal="center"/>
    </xf>
    <xf numFmtId="0" fontId="31" fillId="0" borderId="0" xfId="0" applyFont="1" applyAlignment="1" applyProtection="1">
      <alignment horizontal="center" vertical="center" wrapText="1"/>
      <protection locked="0"/>
    </xf>
    <xf numFmtId="1" fontId="30" fillId="0" borderId="49" xfId="0" applyNumberFormat="1" applyFont="1" applyBorder="1" applyAlignment="1">
      <alignment horizontal="center" vertical="center" wrapText="1"/>
    </xf>
    <xf numFmtId="10" fontId="30" fillId="0" borderId="74" xfId="0" applyNumberFormat="1" applyFont="1" applyBorder="1" applyAlignment="1">
      <alignment horizontal="center" vertical="center" wrapText="1"/>
    </xf>
    <xf numFmtId="10" fontId="30" fillId="0" borderId="10" xfId="0" applyNumberFormat="1" applyFont="1" applyBorder="1" applyAlignment="1">
      <alignment horizontal="center" vertical="center" wrapText="1"/>
    </xf>
    <xf numFmtId="10" fontId="30" fillId="0" borderId="87" xfId="0" applyNumberFormat="1" applyFont="1" applyBorder="1" applyAlignment="1">
      <alignment horizontal="center" vertical="center" wrapText="1"/>
    </xf>
    <xf numFmtId="10" fontId="30" fillId="0" borderId="18" xfId="0" applyNumberFormat="1" applyFont="1" applyBorder="1" applyAlignment="1">
      <alignment horizontal="center" vertical="center" wrapText="1"/>
    </xf>
    <xf numFmtId="10" fontId="30" fillId="0" borderId="37" xfId="0" applyNumberFormat="1" applyFont="1" applyBorder="1" applyAlignment="1">
      <alignment horizontal="center" vertical="center" wrapText="1"/>
    </xf>
    <xf numFmtId="10" fontId="30" fillId="0" borderId="63" xfId="0" applyNumberFormat="1" applyFont="1" applyBorder="1" applyAlignment="1" applyProtection="1">
      <alignment horizontal="center" vertical="center" wrapText="1"/>
      <protection locked="0"/>
    </xf>
    <xf numFmtId="10" fontId="30" fillId="0" borderId="29" xfId="0" applyNumberFormat="1" applyFont="1" applyBorder="1" applyAlignment="1" applyProtection="1">
      <alignment horizontal="center" vertical="center" wrapText="1"/>
      <protection locked="0"/>
    </xf>
    <xf numFmtId="10" fontId="30" fillId="0" borderId="68" xfId="0" applyNumberFormat="1" applyFont="1" applyBorder="1" applyAlignment="1" applyProtection="1">
      <alignment horizontal="center" vertical="center" wrapText="1"/>
      <protection locked="0"/>
    </xf>
    <xf numFmtId="10" fontId="30" fillId="0" borderId="42" xfId="0" applyNumberFormat="1" applyFont="1" applyBorder="1" applyAlignment="1" applyProtection="1">
      <alignment horizontal="center" vertical="center" wrapText="1"/>
      <protection locked="0"/>
    </xf>
    <xf numFmtId="10" fontId="30" fillId="0" borderId="89" xfId="0" applyNumberFormat="1" applyFont="1" applyBorder="1" applyAlignment="1" applyProtection="1">
      <alignment horizontal="center" vertical="center" wrapText="1"/>
      <protection locked="0"/>
    </xf>
    <xf numFmtId="0" fontId="27" fillId="0" borderId="43" xfId="0" applyFont="1" applyFill="1" applyBorder="1" applyAlignment="1">
      <alignment horizontal="center" vertical="center" wrapText="1"/>
    </xf>
    <xf numFmtId="1" fontId="27" fillId="0" borderId="59" xfId="0" applyNumberFormat="1"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57" xfId="0" applyFont="1" applyFill="1" applyBorder="1" applyAlignment="1">
      <alignment horizontal="center" vertical="center" wrapText="1"/>
    </xf>
    <xf numFmtId="43" fontId="27" fillId="0" borderId="84" xfId="37" applyFont="1" applyFill="1" applyBorder="1" applyAlignment="1">
      <alignment horizontal="center" vertical="center" wrapText="1"/>
    </xf>
    <xf numFmtId="9" fontId="27" fillId="0" borderId="57" xfId="0" applyNumberFormat="1"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0" xfId="0" applyFont="1" applyFill="1" applyAlignment="1">
      <alignment vertical="center" wrapText="1"/>
    </xf>
    <xf numFmtId="0" fontId="27" fillId="0" borderId="0" xfId="0" applyFont="1" applyFill="1" applyAlignment="1">
      <alignment vertical="center"/>
    </xf>
    <xf numFmtId="1" fontId="27" fillId="0" borderId="77" xfId="0" applyNumberFormat="1" applyFont="1" applyFill="1" applyBorder="1" applyAlignment="1">
      <alignment horizontal="center" vertical="center" wrapText="1"/>
    </xf>
    <xf numFmtId="1" fontId="27" fillId="0" borderId="14" xfId="0" applyNumberFormat="1" applyFont="1" applyFill="1" applyBorder="1" applyAlignment="1">
      <alignment horizontal="center" vertical="center" wrapText="1"/>
    </xf>
    <xf numFmtId="1" fontId="27" fillId="0" borderId="46" xfId="0" applyNumberFormat="1" applyFont="1" applyFill="1" applyBorder="1" applyAlignment="1">
      <alignment horizontal="center" vertical="center" wrapText="1"/>
    </xf>
    <xf numFmtId="1" fontId="27" fillId="0" borderId="30" xfId="0" applyNumberFormat="1" applyFont="1" applyFill="1" applyBorder="1" applyAlignment="1">
      <alignment horizontal="center" vertical="center" wrapText="1"/>
    </xf>
    <xf numFmtId="1" fontId="27" fillId="0" borderId="43" xfId="0" applyNumberFormat="1" applyFont="1" applyFill="1" applyBorder="1" applyAlignment="1">
      <alignment horizontal="center" vertical="center" wrapText="1"/>
    </xf>
    <xf numFmtId="9" fontId="30" fillId="0" borderId="77" xfId="1" applyFont="1" applyBorder="1" applyAlignment="1">
      <alignment horizontal="center" vertical="center" wrapText="1"/>
    </xf>
    <xf numFmtId="0" fontId="30" fillId="0" borderId="98" xfId="0" applyFont="1" applyBorder="1" applyAlignment="1">
      <alignment horizontal="center" vertical="center" wrapText="1"/>
    </xf>
    <xf numFmtId="1" fontId="30" fillId="0" borderId="71" xfId="0" applyNumberFormat="1" applyFont="1" applyBorder="1" applyAlignment="1">
      <alignment horizontal="center" vertical="center" wrapText="1"/>
    </xf>
    <xf numFmtId="0" fontId="30" fillId="10" borderId="70" xfId="0" applyFont="1" applyFill="1" applyBorder="1" applyAlignment="1">
      <alignment horizontal="center" vertical="center" wrapText="1"/>
    </xf>
    <xf numFmtId="0" fontId="30" fillId="0" borderId="72" xfId="0" applyFont="1" applyBorder="1" applyAlignment="1">
      <alignment horizontal="center" vertical="center" wrapText="1"/>
    </xf>
    <xf numFmtId="9" fontId="30" fillId="0" borderId="92" xfId="0" applyNumberFormat="1" applyFont="1" applyBorder="1" applyAlignment="1">
      <alignment horizontal="center" vertical="center" wrapText="1"/>
    </xf>
    <xf numFmtId="9" fontId="30" fillId="0" borderId="70" xfId="0" applyNumberFormat="1" applyFont="1" applyBorder="1" applyAlignment="1">
      <alignment horizontal="center" vertical="center" wrapText="1"/>
    </xf>
    <xf numFmtId="9" fontId="30" fillId="0" borderId="72" xfId="0" applyNumberFormat="1" applyFont="1" applyBorder="1" applyAlignment="1">
      <alignment horizontal="center" vertical="center" wrapText="1"/>
    </xf>
    <xf numFmtId="10" fontId="30" fillId="0" borderId="70" xfId="0" applyNumberFormat="1" applyFont="1" applyBorder="1" applyAlignment="1">
      <alignment horizontal="center" vertical="center" wrapText="1"/>
    </xf>
    <xf numFmtId="10" fontId="30" fillId="0" borderId="99" xfId="0" applyNumberFormat="1" applyFont="1" applyBorder="1" applyAlignment="1">
      <alignment horizontal="center" vertical="center" wrapText="1"/>
    </xf>
    <xf numFmtId="10" fontId="30" fillId="0" borderId="98" xfId="0" applyNumberFormat="1" applyFont="1" applyBorder="1" applyAlignment="1" applyProtection="1">
      <alignment horizontal="center" vertical="center" wrapText="1"/>
      <protection locked="0"/>
    </xf>
    <xf numFmtId="0" fontId="30" fillId="0" borderId="71" xfId="0" applyFont="1" applyBorder="1" applyAlignment="1" applyProtection="1">
      <alignment horizontal="center" vertical="center" wrapText="1"/>
      <protection locked="0"/>
    </xf>
    <xf numFmtId="0" fontId="27" fillId="0" borderId="32"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0" borderId="60" xfId="0" applyFont="1" applyFill="1" applyBorder="1" applyAlignment="1">
      <alignment horizontal="center" vertical="center" wrapText="1"/>
    </xf>
    <xf numFmtId="0" fontId="27" fillId="0" borderId="0" xfId="0" applyFont="1" applyFill="1" applyAlignment="1">
      <alignment horizontal="center" vertical="center" wrapText="1"/>
    </xf>
    <xf numFmtId="9" fontId="30" fillId="0" borderId="37" xfId="0" applyNumberFormat="1" applyFont="1" applyBorder="1" applyAlignment="1">
      <alignment horizontal="center" vertical="center" wrapText="1"/>
    </xf>
    <xf numFmtId="9" fontId="30" fillId="0" borderId="18" xfId="0" applyNumberFormat="1" applyFont="1" applyBorder="1" applyAlignment="1">
      <alignment horizontal="center" vertical="center" wrapText="1"/>
    </xf>
    <xf numFmtId="10" fontId="30" fillId="0" borderId="85" xfId="0" applyNumberFormat="1" applyFont="1" applyBorder="1" applyAlignment="1">
      <alignment vertical="center" wrapText="1"/>
    </xf>
    <xf numFmtId="10" fontId="30" fillId="0" borderId="79" xfId="0" applyNumberFormat="1" applyFont="1" applyBorder="1" applyAlignment="1">
      <alignment vertical="center" wrapText="1"/>
    </xf>
    <xf numFmtId="164" fontId="30" fillId="0" borderId="57" xfId="38" applyFont="1" applyBorder="1" applyAlignment="1">
      <alignment horizontal="center" vertical="center" wrapText="1"/>
    </xf>
    <xf numFmtId="43" fontId="27" fillId="0" borderId="3" xfId="37" applyFont="1" applyFill="1" applyBorder="1" applyAlignment="1">
      <alignment horizontal="center" vertical="center" wrapText="1"/>
    </xf>
    <xf numFmtId="9" fontId="27" fillId="0" borderId="86" xfId="0" applyNumberFormat="1" applyFont="1" applyFill="1" applyBorder="1" applyAlignment="1">
      <alignment horizontal="center" vertical="center" wrapText="1"/>
    </xf>
    <xf numFmtId="9" fontId="27" fillId="0" borderId="56" xfId="0" applyNumberFormat="1" applyFont="1" applyBorder="1" applyAlignment="1">
      <alignment vertical="center" wrapText="1"/>
    </xf>
    <xf numFmtId="10" fontId="27" fillId="0" borderId="74" xfId="0" applyNumberFormat="1" applyFont="1" applyBorder="1" applyAlignment="1">
      <alignment vertical="center" wrapText="1"/>
    </xf>
    <xf numFmtId="10" fontId="27" fillId="0" borderId="10" xfId="0" applyNumberFormat="1" applyFont="1" applyBorder="1" applyAlignment="1">
      <alignment vertical="center" wrapText="1"/>
    </xf>
    <xf numFmtId="10" fontId="27" fillId="0" borderId="18" xfId="0" applyNumberFormat="1" applyFont="1" applyBorder="1" applyAlignment="1">
      <alignment vertical="center" wrapText="1"/>
    </xf>
    <xf numFmtId="0" fontId="27" fillId="0" borderId="86" xfId="0" applyFont="1" applyFill="1" applyBorder="1" applyAlignment="1">
      <alignment horizontal="center" vertical="center" wrapText="1"/>
    </xf>
    <xf numFmtId="0" fontId="27" fillId="0" borderId="87" xfId="0" applyFont="1" applyBorder="1" applyAlignment="1">
      <alignment horizontal="center" vertical="center" wrapText="1"/>
    </xf>
    <xf numFmtId="0" fontId="27" fillId="0" borderId="57" xfId="1" applyNumberFormat="1" applyFont="1" applyBorder="1" applyAlignment="1">
      <alignment horizontal="center" vertical="center" wrapText="1"/>
    </xf>
    <xf numFmtId="10" fontId="27" fillId="0" borderId="87" xfId="0" applyNumberFormat="1" applyFont="1" applyBorder="1" applyAlignment="1">
      <alignment vertical="center" wrapText="1"/>
    </xf>
    <xf numFmtId="9" fontId="27" fillId="0" borderId="57" xfId="1" applyFont="1" applyBorder="1" applyAlignment="1">
      <alignment horizontal="center" vertical="center" wrapText="1"/>
    </xf>
    <xf numFmtId="0" fontId="27" fillId="0" borderId="33" xfId="1" applyNumberFormat="1" applyFont="1" applyBorder="1" applyAlignment="1">
      <alignment horizontal="center" vertical="center" wrapText="1"/>
    </xf>
    <xf numFmtId="9" fontId="27" fillId="0" borderId="39" xfId="0" applyNumberFormat="1" applyFont="1" applyBorder="1" applyAlignment="1">
      <alignment horizontal="center" vertical="center" wrapText="1"/>
    </xf>
    <xf numFmtId="9" fontId="27" fillId="0" borderId="33" xfId="0" applyNumberFormat="1" applyFont="1" applyFill="1" applyBorder="1" applyAlignment="1">
      <alignment horizontal="center" vertical="center" wrapText="1"/>
    </xf>
    <xf numFmtId="10" fontId="27" fillId="0" borderId="37" xfId="0" applyNumberFormat="1" applyFont="1" applyBorder="1" applyAlignment="1">
      <alignment vertical="center" wrapText="1"/>
    </xf>
    <xf numFmtId="43" fontId="27" fillId="0" borderId="59" xfId="37" applyFont="1" applyFill="1" applyBorder="1" applyAlignment="1">
      <alignment horizontal="center" vertical="center" wrapText="1"/>
    </xf>
    <xf numFmtId="10" fontId="27" fillId="3" borderId="73" xfId="1" applyNumberFormat="1" applyFont="1" applyFill="1" applyBorder="1" applyAlignment="1">
      <alignment horizontal="center" vertical="center" wrapText="1"/>
    </xf>
    <xf numFmtId="10" fontId="27" fillId="3" borderId="12" xfId="1" applyNumberFormat="1" applyFont="1" applyFill="1" applyBorder="1" applyAlignment="1">
      <alignment horizontal="center" vertical="center" wrapText="1"/>
    </xf>
    <xf numFmtId="9" fontId="27" fillId="0" borderId="43" xfId="0" applyNumberFormat="1" applyFont="1" applyFill="1" applyBorder="1" applyAlignment="1">
      <alignment horizontal="center" vertical="center" wrapText="1"/>
    </xf>
    <xf numFmtId="9" fontId="27" fillId="0" borderId="46" xfId="0" applyNumberFormat="1" applyFont="1" applyFill="1" applyBorder="1" applyAlignment="1">
      <alignment horizontal="center" vertical="center" wrapText="1"/>
    </xf>
    <xf numFmtId="10" fontId="27" fillId="3" borderId="20" xfId="1" applyNumberFormat="1" applyFont="1" applyFill="1" applyBorder="1" applyAlignment="1">
      <alignment horizontal="center" vertical="center" wrapText="1"/>
    </xf>
    <xf numFmtId="0" fontId="27" fillId="0" borderId="57" xfId="0" applyFont="1" applyBorder="1" applyAlignment="1">
      <alignment horizontal="center" vertical="center" wrapText="1"/>
    </xf>
    <xf numFmtId="0" fontId="27" fillId="0" borderId="56" xfId="0" applyFont="1" applyFill="1" applyBorder="1" applyAlignment="1">
      <alignment horizontal="center" vertical="center" wrapText="1"/>
    </xf>
    <xf numFmtId="3" fontId="27" fillId="0" borderId="86" xfId="0" applyNumberFormat="1" applyFont="1" applyBorder="1" applyAlignment="1">
      <alignment horizontal="center" vertical="center" wrapText="1"/>
    </xf>
    <xf numFmtId="0" fontId="27" fillId="0" borderId="65" xfId="0" applyFont="1" applyFill="1" applyBorder="1" applyAlignment="1">
      <alignment horizontal="center" vertical="center" wrapText="1"/>
    </xf>
    <xf numFmtId="10" fontId="27" fillId="0" borderId="39" xfId="0" applyNumberFormat="1" applyFont="1" applyBorder="1" applyAlignment="1">
      <alignment vertical="center" wrapText="1"/>
    </xf>
    <xf numFmtId="1" fontId="27" fillId="0" borderId="65" xfId="0" applyNumberFormat="1" applyFont="1" applyFill="1" applyBorder="1" applyAlignment="1">
      <alignment horizontal="center" vertical="center" wrapText="1"/>
    </xf>
    <xf numFmtId="1" fontId="27" fillId="0" borderId="9" xfId="0" applyNumberFormat="1" applyFont="1" applyFill="1" applyBorder="1" applyAlignment="1">
      <alignment horizontal="center" vertical="center" wrapText="1"/>
    </xf>
    <xf numFmtId="10" fontId="27" fillId="3" borderId="0" xfId="1" applyNumberFormat="1" applyFont="1" applyFill="1" applyBorder="1" applyAlignment="1">
      <alignment horizontal="center" vertical="center" wrapText="1"/>
    </xf>
    <xf numFmtId="0" fontId="27" fillId="0" borderId="70" xfId="0" applyFont="1" applyBorder="1" applyAlignment="1">
      <alignment horizontal="center" vertical="center" wrapText="1"/>
    </xf>
    <xf numFmtId="1" fontId="27" fillId="0" borderId="71" xfId="0" applyNumberFormat="1" applyFont="1" applyBorder="1" applyAlignment="1">
      <alignment horizontal="center" vertical="center" wrapText="1"/>
    </xf>
    <xf numFmtId="0" fontId="27" fillId="0" borderId="71" xfId="0" applyFont="1" applyBorder="1" applyAlignment="1">
      <alignment horizontal="center" vertical="center" wrapText="1"/>
    </xf>
    <xf numFmtId="9" fontId="27" fillId="0" borderId="71" xfId="0" applyNumberFormat="1" applyFont="1" applyBorder="1" applyAlignment="1">
      <alignment horizontal="center" vertical="center" wrapText="1"/>
    </xf>
    <xf numFmtId="9" fontId="27" fillId="0" borderId="99" xfId="0" applyNumberFormat="1" applyFont="1" applyBorder="1" applyAlignment="1">
      <alignment horizontal="center" vertical="center" wrapText="1"/>
    </xf>
    <xf numFmtId="0" fontId="27" fillId="0" borderId="70" xfId="0" applyFont="1" applyFill="1" applyBorder="1" applyAlignment="1">
      <alignment horizontal="center" vertical="center" wrapText="1"/>
    </xf>
    <xf numFmtId="10" fontId="27" fillId="0" borderId="99" xfId="0" applyNumberFormat="1" applyFont="1" applyBorder="1" applyAlignment="1">
      <alignment vertical="center" wrapText="1"/>
    </xf>
    <xf numFmtId="10" fontId="27" fillId="0" borderId="72" xfId="0" applyNumberFormat="1" applyFont="1" applyBorder="1" applyAlignment="1">
      <alignment vertical="center" wrapText="1"/>
    </xf>
    <xf numFmtId="10" fontId="27" fillId="3" borderId="95" xfId="1" applyNumberFormat="1" applyFont="1" applyFill="1" applyBorder="1" applyAlignment="1">
      <alignment horizontal="center" vertical="center" wrapText="1"/>
    </xf>
    <xf numFmtId="9" fontId="27" fillId="0" borderId="39" xfId="1" applyFont="1" applyBorder="1" applyAlignment="1">
      <alignment horizontal="center" vertical="center" wrapText="1"/>
    </xf>
    <xf numFmtId="1" fontId="27" fillId="0" borderId="69" xfId="0" applyNumberFormat="1" applyFont="1" applyBorder="1" applyAlignment="1">
      <alignment horizontal="center" vertical="center" wrapText="1"/>
    </xf>
    <xf numFmtId="0" fontId="27" fillId="0" borderId="5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31" xfId="0" applyFont="1" applyBorder="1" applyAlignment="1">
      <alignment horizontal="center" vertical="center" wrapText="1"/>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1" fontId="30" fillId="0" borderId="30" xfId="1" applyNumberFormat="1" applyFont="1" applyBorder="1" applyAlignment="1">
      <alignment horizontal="center" vertical="center" wrapText="1"/>
    </xf>
    <xf numFmtId="10" fontId="30" fillId="3" borderId="2" xfId="1" applyNumberFormat="1" applyFont="1" applyFill="1" applyBorder="1" applyAlignment="1">
      <alignment horizontal="center" vertical="center" wrapText="1"/>
    </xf>
    <xf numFmtId="1" fontId="30" fillId="0" borderId="85" xfId="0" applyNumberFormat="1" applyFont="1" applyBorder="1" applyAlignment="1">
      <alignment horizontal="center" vertical="center" wrapText="1"/>
    </xf>
    <xf numFmtId="0" fontId="30" fillId="0" borderId="52" xfId="0" applyFont="1" applyBorder="1" applyAlignment="1">
      <alignment horizontal="center" vertical="center" wrapText="1"/>
    </xf>
    <xf numFmtId="10" fontId="30" fillId="0" borderId="48" xfId="0" applyNumberFormat="1" applyFont="1" applyBorder="1" applyAlignment="1">
      <alignment vertical="center" wrapText="1"/>
    </xf>
    <xf numFmtId="10" fontId="30" fillId="0" borderId="47" xfId="0" applyNumberFormat="1" applyFont="1" applyBorder="1" applyAlignment="1">
      <alignment horizontal="center" vertical="center" wrapText="1"/>
    </xf>
    <xf numFmtId="1" fontId="30" fillId="0" borderId="52" xfId="0" applyNumberFormat="1" applyFont="1" applyBorder="1" applyAlignment="1">
      <alignment horizontal="center" vertical="center" wrapText="1"/>
    </xf>
    <xf numFmtId="0" fontId="30" fillId="0" borderId="84" xfId="0" applyFont="1" applyBorder="1" applyAlignment="1">
      <alignment horizontal="center" vertical="center" wrapText="1"/>
    </xf>
    <xf numFmtId="10" fontId="30" fillId="0" borderId="78" xfId="1" applyNumberFormat="1" applyFont="1" applyBorder="1" applyAlignment="1">
      <alignment vertical="center" wrapText="1"/>
    </xf>
    <xf numFmtId="10" fontId="30" fillId="0" borderId="55" xfId="0" applyNumberFormat="1" applyFont="1" applyBorder="1" applyAlignment="1">
      <alignment horizontal="center" vertical="center" wrapText="1"/>
    </xf>
    <xf numFmtId="9" fontId="30" fillId="0" borderId="79" xfId="0" applyNumberFormat="1" applyFont="1" applyBorder="1" applyAlignment="1">
      <alignment horizontal="center" vertical="center" wrapText="1"/>
    </xf>
    <xf numFmtId="9" fontId="30" fillId="0" borderId="0" xfId="0" applyNumberFormat="1" applyFont="1" applyAlignment="1">
      <alignment horizontal="center" vertical="center" wrapText="1"/>
    </xf>
    <xf numFmtId="9" fontId="30" fillId="0" borderId="0" xfId="0" applyNumberFormat="1" applyFont="1" applyAlignment="1">
      <alignment horizontal="center"/>
    </xf>
    <xf numFmtId="9" fontId="30" fillId="0" borderId="0" xfId="0" applyNumberFormat="1" applyFont="1" applyAlignment="1">
      <alignment horizontal="center" vertical="center"/>
    </xf>
    <xf numFmtId="0" fontId="27" fillId="0" borderId="46" xfId="0" applyFont="1" applyBorder="1" applyAlignment="1" applyProtection="1">
      <alignment vertical="center" wrapText="1"/>
      <protection locked="0"/>
    </xf>
    <xf numFmtId="10" fontId="27" fillId="0" borderId="50" xfId="0" applyNumberFormat="1" applyFont="1" applyBorder="1" applyAlignment="1" applyProtection="1">
      <alignment horizontal="center" vertical="center" wrapText="1"/>
      <protection locked="0"/>
    </xf>
    <xf numFmtId="10" fontId="27" fillId="0" borderId="11" xfId="0" applyNumberFormat="1" applyFont="1" applyBorder="1" applyAlignment="1" applyProtection="1">
      <alignment horizontal="center" vertical="center" wrapText="1"/>
      <protection locked="0"/>
    </xf>
    <xf numFmtId="10" fontId="27" fillId="0" borderId="83" xfId="0" applyNumberFormat="1" applyFont="1" applyBorder="1" applyAlignment="1" applyProtection="1">
      <alignment horizontal="center" vertical="center" wrapText="1"/>
      <protection locked="0"/>
    </xf>
    <xf numFmtId="10" fontId="27" fillId="0" borderId="19" xfId="0" applyNumberFormat="1" applyFont="1" applyBorder="1" applyAlignment="1" applyProtection="1">
      <alignment horizontal="center" vertical="center" wrapText="1"/>
      <protection locked="0"/>
    </xf>
    <xf numFmtId="9" fontId="27" fillId="0" borderId="37" xfId="0" applyNumberFormat="1" applyFont="1" applyBorder="1" applyAlignment="1">
      <alignment horizontal="center" vertical="center" wrapText="1"/>
    </xf>
    <xf numFmtId="10" fontId="27" fillId="0" borderId="31" xfId="0" applyNumberFormat="1" applyFont="1" applyBorder="1" applyAlignment="1">
      <alignment vertical="center" wrapText="1"/>
    </xf>
    <xf numFmtId="10" fontId="27" fillId="0" borderId="2" xfId="0" applyNumberFormat="1" applyFont="1" applyBorder="1" applyAlignment="1" applyProtection="1">
      <alignment horizontal="center" vertical="center" wrapText="1"/>
      <protection locked="0"/>
    </xf>
    <xf numFmtId="0" fontId="27" fillId="0" borderId="58" xfId="0" applyFont="1" applyBorder="1" applyAlignment="1">
      <alignment vertical="center" wrapText="1"/>
    </xf>
    <xf numFmtId="9" fontId="27" fillId="0" borderId="39" xfId="0" applyNumberFormat="1" applyFont="1" applyFill="1" applyBorder="1" applyAlignment="1">
      <alignment horizontal="center" vertical="center" wrapText="1"/>
    </xf>
    <xf numFmtId="9" fontId="27" fillId="0" borderId="87" xfId="0" applyNumberFormat="1" applyFont="1" applyFill="1" applyBorder="1" applyAlignment="1">
      <alignment horizontal="center" vertical="center" wrapText="1"/>
    </xf>
    <xf numFmtId="0" fontId="27" fillId="0" borderId="60"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5" xfId="0" applyFont="1" applyBorder="1" applyAlignment="1">
      <alignment horizontal="center" vertical="center" wrapText="1"/>
    </xf>
    <xf numFmtId="10" fontId="27" fillId="0" borderId="75" xfId="0" applyNumberFormat="1" applyFont="1" applyBorder="1" applyAlignment="1" applyProtection="1">
      <alignment horizontal="center" vertical="center" wrapText="1"/>
      <protection locked="0"/>
    </xf>
    <xf numFmtId="10" fontId="27" fillId="0" borderId="88" xfId="0" applyNumberFormat="1" applyFont="1" applyBorder="1" applyAlignment="1" applyProtection="1">
      <alignment horizontal="center" vertical="center" wrapText="1"/>
      <protection locked="0"/>
    </xf>
    <xf numFmtId="10" fontId="27" fillId="0" borderId="96" xfId="0" applyNumberFormat="1" applyFont="1" applyBorder="1" applyAlignment="1" applyProtection="1">
      <alignment horizontal="center" vertical="center" wrapText="1"/>
      <protection locked="0"/>
    </xf>
    <xf numFmtId="10" fontId="27" fillId="0" borderId="91" xfId="0" applyNumberFormat="1" applyFont="1" applyBorder="1" applyAlignment="1" applyProtection="1">
      <alignment horizontal="center" vertical="center" wrapText="1"/>
      <protection locked="0"/>
    </xf>
    <xf numFmtId="10" fontId="27" fillId="0" borderId="93" xfId="0" applyNumberFormat="1" applyFont="1" applyBorder="1" applyAlignment="1" applyProtection="1">
      <alignment horizontal="center" vertical="center" wrapText="1"/>
      <protection locked="0"/>
    </xf>
    <xf numFmtId="9" fontId="22" fillId="0" borderId="10" xfId="0" applyNumberFormat="1" applyFont="1" applyBorder="1" applyAlignment="1">
      <alignment horizontal="center" vertical="center" wrapText="1"/>
    </xf>
    <xf numFmtId="9" fontId="22" fillId="0" borderId="18" xfId="0" applyNumberFormat="1" applyFont="1" applyBorder="1" applyAlignment="1">
      <alignment horizontal="center" vertical="center" wrapText="1"/>
    </xf>
    <xf numFmtId="0" fontId="16" fillId="0" borderId="86" xfId="0" applyFont="1" applyBorder="1" applyAlignment="1">
      <alignment horizontal="center" vertical="center" wrapText="1"/>
    </xf>
    <xf numFmtId="0" fontId="16" fillId="0" borderId="49" xfId="0" applyFont="1" applyBorder="1" applyAlignment="1">
      <alignment horizontal="center" vertical="center" wrapText="1"/>
    </xf>
    <xf numFmtId="9" fontId="16" fillId="0" borderId="56" xfId="0" applyNumberFormat="1" applyFont="1" applyBorder="1" applyAlignment="1">
      <alignment vertical="center" wrapText="1"/>
    </xf>
    <xf numFmtId="0" fontId="16" fillId="0" borderId="69" xfId="0" applyFont="1" applyBorder="1" applyAlignment="1">
      <alignment horizontal="center" vertical="center" wrapText="1"/>
    </xf>
    <xf numFmtId="10" fontId="16" fillId="0" borderId="60" xfId="0" applyNumberFormat="1" applyFont="1" applyBorder="1" applyAlignment="1">
      <alignment vertical="center" wrapText="1"/>
    </xf>
    <xf numFmtId="0" fontId="16" fillId="0" borderId="30" xfId="0" applyFont="1" applyBorder="1" applyAlignment="1">
      <alignment horizontal="center" vertical="center" wrapText="1"/>
    </xf>
    <xf numFmtId="10" fontId="16" fillId="0" borderId="32" xfId="0" applyNumberFormat="1" applyFont="1" applyBorder="1" applyAlignment="1">
      <alignment vertical="center" wrapText="1"/>
    </xf>
    <xf numFmtId="0" fontId="16" fillId="0" borderId="87"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6" xfId="0" applyFont="1" applyBorder="1" applyAlignment="1">
      <alignment horizontal="center" vertical="center" wrapText="1"/>
    </xf>
    <xf numFmtId="9" fontId="30" fillId="0" borderId="78" xfId="0" applyNumberFormat="1" applyFont="1" applyBorder="1" applyAlignment="1">
      <alignment horizontal="center" vertical="center" wrapText="1"/>
    </xf>
    <xf numFmtId="170" fontId="30" fillId="0" borderId="43" xfId="1" applyNumberFormat="1" applyFont="1" applyBorder="1" applyAlignment="1">
      <alignment horizontal="center" vertical="center" wrapText="1"/>
    </xf>
    <xf numFmtId="9" fontId="30" fillId="0" borderId="48" xfId="0" applyNumberFormat="1" applyFont="1" applyBorder="1" applyAlignment="1">
      <alignment horizontal="center" vertical="center" wrapText="1"/>
    </xf>
    <xf numFmtId="9" fontId="30" fillId="0" borderId="84" xfId="0" applyNumberFormat="1" applyFont="1" applyBorder="1" applyAlignment="1">
      <alignment horizontal="center" vertical="center" wrapText="1"/>
    </xf>
    <xf numFmtId="0" fontId="30" fillId="0" borderId="74" xfId="0" applyFont="1" applyBorder="1" applyAlignment="1" applyProtection="1">
      <alignment horizontal="center" vertical="center" wrapText="1"/>
      <protection locked="0"/>
    </xf>
    <xf numFmtId="0" fontId="30" fillId="0" borderId="10"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30" fillId="0" borderId="99" xfId="0" applyFont="1" applyBorder="1" applyAlignment="1" applyProtection="1">
      <alignment horizontal="center" vertical="center" wrapText="1"/>
      <protection locked="0"/>
    </xf>
    <xf numFmtId="0" fontId="30" fillId="0" borderId="37" xfId="0" applyFont="1" applyBorder="1" applyAlignment="1" applyProtection="1">
      <alignment horizontal="center" vertical="center" wrapText="1"/>
      <protection locked="0"/>
    </xf>
    <xf numFmtId="0" fontId="30" fillId="0" borderId="98" xfId="0" applyFont="1" applyBorder="1" applyAlignment="1" applyProtection="1">
      <alignment horizontal="center" vertical="center" wrapText="1"/>
      <protection locked="0"/>
    </xf>
    <xf numFmtId="1" fontId="30" fillId="0" borderId="98" xfId="0" applyNumberFormat="1" applyFont="1" applyBorder="1" applyAlignment="1">
      <alignment horizontal="center" vertical="center" wrapText="1"/>
    </xf>
    <xf numFmtId="1" fontId="30" fillId="0" borderId="82" xfId="0" applyNumberFormat="1" applyFont="1" applyBorder="1" applyAlignment="1">
      <alignment horizontal="center" vertical="center" wrapText="1"/>
    </xf>
    <xf numFmtId="1" fontId="30" fillId="0" borderId="63" xfId="0" applyNumberFormat="1" applyFont="1" applyBorder="1" applyAlignment="1">
      <alignment horizontal="center" vertical="center" wrapText="1"/>
    </xf>
    <xf numFmtId="169" fontId="30" fillId="0" borderId="42" xfId="0" applyNumberFormat="1" applyFont="1" applyBorder="1" applyAlignment="1">
      <alignment horizontal="center" vertical="center" wrapText="1"/>
    </xf>
    <xf numFmtId="9" fontId="30" fillId="0" borderId="98" xfId="1" applyFont="1" applyBorder="1" applyAlignment="1">
      <alignment horizontal="center" vertical="center" wrapText="1"/>
    </xf>
    <xf numFmtId="1" fontId="30" fillId="0" borderId="92" xfId="0" applyNumberFormat="1" applyFont="1" applyBorder="1" applyAlignment="1">
      <alignment horizontal="center" vertical="center" wrapText="1"/>
    </xf>
    <xf numFmtId="164" fontId="30" fillId="0" borderId="0" xfId="0" applyNumberFormat="1" applyFont="1" applyAlignment="1" applyProtection="1">
      <alignment horizontal="center" vertical="center" wrapText="1"/>
      <protection locked="0"/>
    </xf>
    <xf numFmtId="170" fontId="30" fillId="0" borderId="45" xfId="1" applyNumberFormat="1" applyFont="1" applyBorder="1" applyAlignment="1">
      <alignment vertical="center" wrapText="1"/>
    </xf>
    <xf numFmtId="170" fontId="30" fillId="0" borderId="45" xfId="1" applyNumberFormat="1" applyFont="1" applyBorder="1" applyAlignment="1" applyProtection="1">
      <alignment horizontal="center" vertical="center" wrapText="1"/>
      <protection locked="0"/>
    </xf>
    <xf numFmtId="9" fontId="30" fillId="0" borderId="43" xfId="1" applyFont="1" applyBorder="1" applyAlignment="1">
      <alignment horizontal="center" vertical="center" wrapText="1"/>
    </xf>
    <xf numFmtId="9" fontId="30" fillId="0" borderId="47" xfId="1" applyFont="1" applyBorder="1" applyAlignment="1">
      <alignment horizontal="center" vertical="center" wrapText="1"/>
    </xf>
    <xf numFmtId="10" fontId="30" fillId="0" borderId="75" xfId="0" applyNumberFormat="1" applyFont="1" applyBorder="1" applyAlignment="1" applyProtection="1">
      <alignment horizontal="center" vertical="center" wrapText="1"/>
      <protection locked="0"/>
    </xf>
    <xf numFmtId="10" fontId="30" fillId="0" borderId="91" xfId="0" applyNumberFormat="1" applyFont="1" applyBorder="1" applyAlignment="1" applyProtection="1">
      <alignment horizontal="center" vertical="center" wrapText="1"/>
      <protection locked="0"/>
    </xf>
    <xf numFmtId="10" fontId="30" fillId="0" borderId="93" xfId="0" applyNumberFormat="1" applyFont="1" applyBorder="1" applyAlignment="1" applyProtection="1">
      <alignment horizontal="center" vertical="center" wrapText="1"/>
      <protection locked="0"/>
    </xf>
    <xf numFmtId="0" fontId="30" fillId="0" borderId="57"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0" fillId="0" borderId="56" xfId="0" applyFont="1" applyBorder="1" applyAlignment="1" applyProtection="1">
      <alignment horizontal="center" vertical="center" wrapText="1"/>
      <protection locked="0"/>
    </xf>
    <xf numFmtId="0" fontId="30" fillId="0" borderId="87" xfId="0" applyFont="1" applyBorder="1" applyAlignment="1" applyProtection="1">
      <alignment horizontal="center" vertical="center" wrapText="1"/>
      <protection locked="0"/>
    </xf>
    <xf numFmtId="164" fontId="30" fillId="0" borderId="17" xfId="38" applyFont="1" applyBorder="1" applyAlignment="1" applyProtection="1">
      <alignment horizontal="center" vertical="center" wrapText="1"/>
      <protection locked="0"/>
    </xf>
    <xf numFmtId="164" fontId="30" fillId="0" borderId="52" xfId="38" applyFont="1" applyBorder="1" applyAlignment="1" applyProtection="1">
      <alignment horizontal="center" vertical="center" wrapText="1"/>
      <protection locked="0"/>
    </xf>
    <xf numFmtId="164" fontId="30" fillId="0" borderId="31" xfId="38" applyFont="1" applyBorder="1" applyAlignment="1" applyProtection="1">
      <alignment horizontal="center" vertical="center" wrapText="1"/>
      <protection locked="0"/>
    </xf>
    <xf numFmtId="164" fontId="30" fillId="0" borderId="31" xfId="0" applyNumberFormat="1" applyFont="1" applyBorder="1" applyAlignment="1" applyProtection="1">
      <alignment horizontal="center" vertical="center" wrapText="1"/>
      <protection locked="0"/>
    </xf>
    <xf numFmtId="164" fontId="30" fillId="0" borderId="59" xfId="38" applyFont="1" applyBorder="1" applyAlignment="1" applyProtection="1">
      <alignment horizontal="center" vertical="center" wrapText="1"/>
      <protection locked="0"/>
    </xf>
    <xf numFmtId="164" fontId="30" fillId="0" borderId="69" xfId="38" applyFont="1" applyBorder="1" applyAlignment="1" applyProtection="1">
      <alignment horizontal="center" vertical="center" wrapText="1"/>
      <protection locked="0"/>
    </xf>
    <xf numFmtId="2" fontId="30" fillId="0" borderId="60" xfId="0" applyNumberFormat="1" applyFont="1" applyBorder="1" applyAlignment="1">
      <alignment vertical="center" wrapText="1"/>
    </xf>
    <xf numFmtId="164" fontId="30" fillId="0" borderId="30" xfId="38" applyFont="1" applyBorder="1" applyAlignment="1" applyProtection="1">
      <alignment horizontal="center" vertical="center" wrapText="1"/>
      <protection locked="0"/>
    </xf>
    <xf numFmtId="2" fontId="30" fillId="0" borderId="32" xfId="0" applyNumberFormat="1" applyFont="1" applyBorder="1" applyAlignment="1">
      <alignment vertical="center" wrapText="1"/>
    </xf>
    <xf numFmtId="9" fontId="30" fillId="0" borderId="32" xfId="1" applyFont="1" applyBorder="1" applyAlignment="1">
      <alignment vertical="center" wrapText="1"/>
    </xf>
    <xf numFmtId="9" fontId="30" fillId="0" borderId="32" xfId="1" applyFont="1" applyBorder="1" applyAlignment="1" applyProtection="1">
      <alignment horizontal="center" vertical="center" wrapText="1"/>
      <protection locked="0"/>
    </xf>
    <xf numFmtId="10" fontId="30" fillId="0" borderId="3" xfId="0" applyNumberFormat="1" applyFont="1" applyBorder="1" applyAlignment="1">
      <alignment horizontal="center" vertical="center" wrapText="1"/>
    </xf>
    <xf numFmtId="10" fontId="30" fillId="0" borderId="14" xfId="0" applyNumberFormat="1" applyFont="1" applyBorder="1" applyAlignment="1">
      <alignment horizontal="center" vertical="center" wrapText="1"/>
    </xf>
    <xf numFmtId="10" fontId="30" fillId="0" borderId="17" xfId="0" applyNumberFormat="1" applyFont="1" applyBorder="1" applyAlignment="1">
      <alignment horizontal="center" vertical="center" wrapText="1"/>
    </xf>
    <xf numFmtId="10" fontId="30" fillId="3" borderId="7" xfId="1" applyNumberFormat="1" applyFont="1" applyFill="1" applyBorder="1" applyAlignment="1">
      <alignment horizontal="center" vertical="center" wrapText="1"/>
    </xf>
    <xf numFmtId="10" fontId="30" fillId="3" borderId="12" xfId="1" applyNumberFormat="1" applyFont="1" applyFill="1" applyBorder="1" applyAlignment="1">
      <alignment horizontal="center" vertical="center" wrapText="1"/>
    </xf>
    <xf numFmtId="10" fontId="30" fillId="3" borderId="100" xfId="1" applyNumberFormat="1" applyFont="1" applyFill="1" applyBorder="1" applyAlignment="1">
      <alignment horizontal="center" vertical="center" wrapText="1"/>
    </xf>
    <xf numFmtId="10" fontId="30" fillId="0" borderId="0" xfId="0" applyNumberFormat="1" applyFont="1" applyBorder="1" applyAlignment="1">
      <alignment horizontal="center" vertical="center" wrapText="1"/>
    </xf>
    <xf numFmtId="10" fontId="30" fillId="0" borderId="36" xfId="0" applyNumberFormat="1" applyFont="1" applyBorder="1" applyAlignment="1">
      <alignment horizontal="center" vertical="center" wrapText="1"/>
    </xf>
    <xf numFmtId="0" fontId="30" fillId="0" borderId="46" xfId="0" applyFont="1" applyBorder="1" applyAlignment="1">
      <alignment horizontal="center" vertical="center" wrapText="1"/>
    </xf>
    <xf numFmtId="10" fontId="30" fillId="3" borderId="63" xfId="1" applyNumberFormat="1" applyFont="1" applyFill="1" applyBorder="1" applyAlignment="1">
      <alignment horizontal="center" vertical="center" wrapText="1"/>
    </xf>
    <xf numFmtId="10" fontId="30" fillId="3" borderId="42" xfId="1" applyNumberFormat="1" applyFont="1" applyFill="1" applyBorder="1" applyAlignment="1">
      <alignment horizontal="center" vertical="center" wrapText="1"/>
    </xf>
    <xf numFmtId="0" fontId="30" fillId="0" borderId="90" xfId="0" applyFont="1" applyBorder="1" applyAlignment="1" applyProtection="1">
      <alignment horizontal="center" vertical="center" wrapText="1"/>
      <protection locked="0"/>
    </xf>
    <xf numFmtId="0" fontId="30" fillId="0" borderId="36" xfId="0" applyFont="1" applyBorder="1" applyAlignment="1" applyProtection="1">
      <alignment horizontal="center" vertical="center" wrapText="1"/>
      <protection locked="0"/>
    </xf>
    <xf numFmtId="0" fontId="30" fillId="0" borderId="46" xfId="0" applyFont="1" applyBorder="1" applyAlignment="1" applyProtection="1">
      <alignment horizontal="center" vertical="center" wrapText="1"/>
      <protection locked="0"/>
    </xf>
    <xf numFmtId="0" fontId="30" fillId="0" borderId="72" xfId="0" applyFont="1" applyBorder="1" applyAlignment="1">
      <alignment vertical="center" wrapText="1"/>
    </xf>
    <xf numFmtId="0" fontId="30" fillId="0" borderId="70" xfId="0" applyFont="1" applyBorder="1" applyAlignment="1" applyProtection="1">
      <alignment horizontal="center" vertical="center" wrapText="1"/>
      <protection locked="0"/>
    </xf>
    <xf numFmtId="0" fontId="27" fillId="0" borderId="71" xfId="0" applyFont="1" applyBorder="1" applyAlignment="1">
      <alignment horizontal="center" vertical="center" wrapText="1"/>
    </xf>
    <xf numFmtId="1" fontId="30" fillId="0" borderId="60" xfId="0" applyNumberFormat="1" applyFont="1" applyBorder="1" applyAlignment="1">
      <alignment horizontal="center" vertical="center" wrapText="1"/>
    </xf>
    <xf numFmtId="1" fontId="30" fillId="0" borderId="32" xfId="0" applyNumberFormat="1" applyFont="1" applyBorder="1" applyAlignment="1">
      <alignment horizontal="center" vertical="center" wrapText="1"/>
    </xf>
    <xf numFmtId="0" fontId="33" fillId="0" borderId="77" xfId="0" applyFont="1" applyBorder="1" applyAlignment="1">
      <alignment horizontal="center" vertical="center" wrapText="1"/>
    </xf>
    <xf numFmtId="0" fontId="33" fillId="0" borderId="14" xfId="0" applyFont="1" applyBorder="1" applyAlignment="1">
      <alignment horizontal="center" vertical="center" wrapText="1"/>
    </xf>
    <xf numFmtId="1" fontId="30" fillId="0" borderId="29" xfId="0" applyNumberFormat="1" applyFont="1" applyBorder="1" applyAlignment="1">
      <alignment horizontal="center" vertical="center" wrapText="1"/>
    </xf>
    <xf numFmtId="169" fontId="30" fillId="0" borderId="29" xfId="0" applyNumberFormat="1" applyFont="1" applyBorder="1" applyAlignment="1">
      <alignment horizontal="center" vertical="center" wrapText="1"/>
    </xf>
    <xf numFmtId="1" fontId="27" fillId="0" borderId="31" xfId="1" applyNumberFormat="1" applyFont="1" applyBorder="1" applyAlignment="1">
      <alignment horizontal="center" vertical="center" wrapText="1"/>
    </xf>
    <xf numFmtId="9" fontId="27" fillId="0" borderId="30" xfId="1" applyFont="1" applyBorder="1" applyAlignment="1">
      <alignment horizontal="center" vertical="center" wrapText="1"/>
    </xf>
    <xf numFmtId="10" fontId="27" fillId="3" borderId="63" xfId="1" applyNumberFormat="1" applyFont="1" applyFill="1" applyBorder="1" applyAlignment="1">
      <alignment horizontal="center" vertical="center" wrapText="1"/>
    </xf>
    <xf numFmtId="10" fontId="27" fillId="0" borderId="77" xfId="0" applyNumberFormat="1" applyFont="1" applyBorder="1" applyAlignment="1">
      <alignment horizontal="center" vertical="center" wrapText="1"/>
    </xf>
    <xf numFmtId="10" fontId="27" fillId="0" borderId="9" xfId="0" applyNumberFormat="1" applyFont="1" applyBorder="1" applyAlignment="1">
      <alignment horizontal="center" vertical="center" wrapText="1"/>
    </xf>
    <xf numFmtId="10" fontId="27" fillId="0" borderId="86" xfId="0" applyNumberFormat="1" applyFont="1" applyBorder="1" applyAlignment="1">
      <alignment horizontal="center" vertical="center" wrapText="1"/>
    </xf>
    <xf numFmtId="10" fontId="27" fillId="3" borderId="29" xfId="1" applyNumberFormat="1" applyFont="1" applyFill="1" applyBorder="1" applyAlignment="1">
      <alignment horizontal="center" vertical="center" wrapText="1"/>
    </xf>
    <xf numFmtId="10" fontId="27" fillId="3" borderId="42" xfId="1" applyNumberFormat="1" applyFont="1" applyFill="1" applyBorder="1" applyAlignment="1">
      <alignment horizontal="center" vertical="center" wrapText="1"/>
    </xf>
    <xf numFmtId="9" fontId="27" fillId="0" borderId="44" xfId="0" applyNumberFormat="1" applyFont="1" applyBorder="1" applyAlignment="1">
      <alignment horizontal="center" vertical="center" wrapText="1"/>
    </xf>
    <xf numFmtId="9" fontId="28" fillId="11" borderId="34" xfId="0" applyNumberFormat="1" applyFont="1" applyFill="1" applyBorder="1" applyAlignment="1">
      <alignment horizontal="center" vertical="center" wrapText="1"/>
    </xf>
    <xf numFmtId="9" fontId="27" fillId="0" borderId="52" xfId="0" applyNumberFormat="1" applyFont="1" applyBorder="1" applyAlignment="1">
      <alignment horizontal="center" vertical="center" wrapText="1"/>
    </xf>
    <xf numFmtId="0" fontId="27" fillId="0" borderId="59" xfId="0" applyFont="1" applyBorder="1" applyAlignment="1" applyProtection="1">
      <alignment vertical="center" wrapText="1"/>
      <protection locked="0"/>
    </xf>
    <xf numFmtId="0" fontId="27" fillId="0" borderId="30" xfId="0" applyFont="1" applyBorder="1" applyAlignment="1" applyProtection="1">
      <alignment horizontal="center" vertical="center" wrapText="1"/>
      <protection locked="0"/>
    </xf>
    <xf numFmtId="0" fontId="27" fillId="0" borderId="31" xfId="0" applyFont="1" applyBorder="1" applyAlignment="1" applyProtection="1">
      <alignment horizontal="center" vertical="center" wrapText="1"/>
      <protection locked="0"/>
    </xf>
    <xf numFmtId="0" fontId="27" fillId="10" borderId="60" xfId="0" applyFont="1" applyFill="1" applyBorder="1" applyAlignment="1">
      <alignment horizontal="center" vertical="center" wrapText="1"/>
    </xf>
    <xf numFmtId="9" fontId="27" fillId="0" borderId="77" xfId="1" applyFont="1" applyBorder="1" applyAlignment="1">
      <alignment horizontal="center" vertical="center" wrapText="1"/>
    </xf>
    <xf numFmtId="10" fontId="27" fillId="0" borderId="69" xfId="0" applyNumberFormat="1" applyFont="1" applyBorder="1" applyAlignment="1">
      <alignment vertical="center" wrapText="1"/>
    </xf>
    <xf numFmtId="10" fontId="27" fillId="3" borderId="60" xfId="1" applyNumberFormat="1" applyFont="1" applyFill="1" applyBorder="1" applyAlignment="1">
      <alignment horizontal="center" vertical="center" wrapText="1"/>
    </xf>
    <xf numFmtId="9" fontId="30" fillId="0" borderId="47" xfId="0" applyNumberFormat="1" applyFont="1" applyBorder="1" applyAlignment="1">
      <alignment horizontal="center" vertical="center" wrapText="1"/>
    </xf>
    <xf numFmtId="9" fontId="30" fillId="0" borderId="17" xfId="1" applyFont="1" applyBorder="1" applyAlignment="1">
      <alignment horizontal="center" vertical="center" wrapText="1"/>
    </xf>
    <xf numFmtId="9" fontId="27" fillId="0" borderId="77" xfId="0" applyNumberFormat="1" applyFont="1" applyBorder="1" applyAlignment="1">
      <alignment horizontal="center" vertical="center" wrapText="1"/>
    </xf>
    <xf numFmtId="0" fontId="27" fillId="0" borderId="59" xfId="0" applyFont="1" applyBorder="1" applyAlignment="1" applyProtection="1">
      <alignment horizontal="center" vertical="center" wrapText="1"/>
      <protection locked="0"/>
    </xf>
    <xf numFmtId="10" fontId="30" fillId="0" borderId="61" xfId="0" applyNumberFormat="1" applyFont="1" applyBorder="1" applyAlignment="1">
      <alignment horizontal="center" vertical="center" wrapText="1"/>
    </xf>
    <xf numFmtId="10" fontId="30" fillId="0" borderId="82" xfId="0" applyNumberFormat="1" applyFont="1" applyBorder="1" applyAlignment="1" applyProtection="1">
      <alignment horizontal="center" vertical="center" wrapText="1"/>
      <protection locked="0"/>
    </xf>
    <xf numFmtId="171" fontId="30" fillId="0" borderId="48" xfId="0" applyNumberFormat="1" applyFont="1" applyBorder="1" applyAlignment="1">
      <alignment vertical="center" wrapText="1"/>
    </xf>
    <xf numFmtId="0" fontId="30" fillId="0" borderId="47" xfId="0" applyFont="1" applyBorder="1" applyAlignment="1" applyProtection="1">
      <alignment horizontal="center" vertical="center" wrapText="1"/>
      <protection locked="0"/>
    </xf>
    <xf numFmtId="1" fontId="27" fillId="0" borderId="69" xfId="1" applyNumberFormat="1" applyFont="1" applyBorder="1" applyAlignment="1">
      <alignment horizontal="center" vertical="center" wrapText="1"/>
    </xf>
    <xf numFmtId="10" fontId="27" fillId="0" borderId="44" xfId="0" applyNumberFormat="1" applyFont="1" applyBorder="1" applyAlignment="1">
      <alignment vertical="center" wrapText="1"/>
    </xf>
    <xf numFmtId="1" fontId="27" fillId="0" borderId="44" xfId="1" applyNumberFormat="1" applyFont="1" applyBorder="1" applyAlignment="1">
      <alignment horizontal="center" vertical="center" wrapText="1"/>
    </xf>
    <xf numFmtId="10" fontId="27" fillId="0" borderId="44" xfId="0" applyNumberFormat="1" applyFont="1" applyBorder="1" applyAlignment="1">
      <alignment horizontal="center" vertical="center" wrapText="1"/>
    </xf>
    <xf numFmtId="10" fontId="16" fillId="0" borderId="31" xfId="0" applyNumberFormat="1" applyFont="1" applyBorder="1" applyAlignment="1">
      <alignment horizontal="center" vertical="center" wrapText="1"/>
    </xf>
    <xf numFmtId="0" fontId="16" fillId="0" borderId="31" xfId="0" applyFont="1" applyBorder="1" applyAlignment="1" applyProtection="1">
      <alignment vertical="center" wrapText="1"/>
      <protection locked="0"/>
    </xf>
    <xf numFmtId="10" fontId="16" fillId="0" borderId="69" xfId="0" applyNumberFormat="1" applyFont="1" applyBorder="1" applyAlignment="1">
      <alignment horizontal="center" vertical="center" wrapText="1"/>
    </xf>
    <xf numFmtId="0" fontId="16" fillId="0" borderId="69" xfId="0" applyFont="1" applyBorder="1" applyAlignment="1" applyProtection="1">
      <alignment vertical="center" wrapText="1"/>
      <protection locked="0"/>
    </xf>
    <xf numFmtId="9" fontId="27" fillId="0" borderId="78" xfId="0" applyNumberFormat="1" applyFont="1" applyBorder="1" applyAlignment="1">
      <alignment horizontal="center" vertical="center" wrapText="1"/>
    </xf>
    <xf numFmtId="9" fontId="27" fillId="0" borderId="59" xfId="1" applyFont="1" applyBorder="1" applyAlignment="1">
      <alignment horizontal="center" vertical="center" wrapText="1"/>
    </xf>
    <xf numFmtId="10" fontId="27" fillId="0" borderId="32" xfId="0" applyNumberFormat="1" applyFont="1" applyBorder="1" applyAlignment="1" applyProtection="1">
      <alignment horizontal="center" vertical="center" wrapText="1"/>
      <protection locked="0"/>
    </xf>
    <xf numFmtId="10" fontId="27" fillId="0" borderId="45" xfId="0" applyNumberFormat="1" applyFont="1" applyBorder="1" applyAlignment="1" applyProtection="1">
      <alignment horizontal="center" vertical="center" wrapText="1"/>
      <protection locked="0"/>
    </xf>
    <xf numFmtId="0" fontId="16" fillId="0" borderId="60" xfId="0" applyFont="1" applyBorder="1" applyAlignment="1">
      <alignment vertical="center" wrapText="1"/>
    </xf>
    <xf numFmtId="0" fontId="16" fillId="0" borderId="32" xfId="0" applyFont="1" applyBorder="1" applyAlignment="1">
      <alignment vertical="center" wrapText="1"/>
    </xf>
    <xf numFmtId="0" fontId="16" fillId="0" borderId="59" xfId="0" applyFont="1" applyBorder="1" applyAlignment="1" applyProtection="1">
      <alignment vertical="center" wrapText="1"/>
      <protection locked="0"/>
    </xf>
    <xf numFmtId="0" fontId="16" fillId="0" borderId="60" xfId="0" applyFont="1" applyBorder="1" applyAlignment="1" applyProtection="1">
      <alignment horizontal="justify" vertical="center" wrapText="1"/>
      <protection locked="0"/>
    </xf>
    <xf numFmtId="0" fontId="16" fillId="0" borderId="30" xfId="0" applyFont="1" applyBorder="1" applyAlignment="1" applyProtection="1">
      <alignment vertical="center" wrapText="1"/>
      <protection locked="0"/>
    </xf>
    <xf numFmtId="0" fontId="16" fillId="0" borderId="32" xfId="0" applyFont="1" applyBorder="1" applyAlignment="1" applyProtection="1">
      <alignment horizontal="justify" vertical="center" wrapText="1"/>
      <protection locked="0"/>
    </xf>
    <xf numFmtId="0" fontId="16" fillId="0" borderId="60" xfId="0" applyFont="1" applyBorder="1" applyAlignment="1" applyProtection="1">
      <alignment vertical="center" wrapText="1"/>
      <protection locked="0"/>
    </xf>
    <xf numFmtId="0" fontId="16" fillId="0" borderId="32" xfId="0" applyFont="1" applyBorder="1" applyAlignment="1" applyProtection="1">
      <alignment vertical="center" wrapText="1"/>
      <protection locked="0"/>
    </xf>
    <xf numFmtId="9" fontId="31" fillId="0" borderId="100" xfId="0" applyNumberFormat="1" applyFont="1" applyBorder="1" applyAlignment="1">
      <alignment horizontal="center" vertical="center" wrapText="1"/>
    </xf>
    <xf numFmtId="0" fontId="27" fillId="0" borderId="30" xfId="0" applyFont="1" applyBorder="1" applyAlignment="1">
      <alignment horizontal="center" vertical="center" wrapText="1"/>
    </xf>
    <xf numFmtId="0" fontId="27" fillId="0" borderId="57" xfId="0" applyFont="1" applyBorder="1" applyAlignment="1">
      <alignment horizontal="center" vertical="center" wrapText="1"/>
    </xf>
    <xf numFmtId="1" fontId="27" fillId="0" borderId="69" xfId="0" applyNumberFormat="1" applyFont="1" applyBorder="1" applyAlignment="1">
      <alignment horizontal="center" vertical="center" wrapText="1"/>
    </xf>
    <xf numFmtId="1" fontId="27" fillId="0" borderId="49" xfId="0" applyNumberFormat="1" applyFont="1" applyBorder="1" applyAlignment="1">
      <alignment horizontal="center" vertical="center" wrapText="1"/>
    </xf>
    <xf numFmtId="1" fontId="27" fillId="0" borderId="44"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9" fontId="27" fillId="0" borderId="31" xfId="1" applyFont="1" applyBorder="1" applyAlignment="1">
      <alignment horizontal="center" vertical="center" wrapText="1"/>
    </xf>
    <xf numFmtId="9" fontId="27" fillId="0" borderId="49" xfId="0" applyNumberFormat="1" applyFont="1" applyBorder="1" applyAlignment="1">
      <alignment horizontal="center" vertical="center" wrapText="1"/>
    </xf>
    <xf numFmtId="1" fontId="21" fillId="0" borderId="69" xfId="0" applyNumberFormat="1" applyFont="1" applyBorder="1" applyAlignment="1">
      <alignment horizontal="center" vertical="center" wrapText="1"/>
    </xf>
    <xf numFmtId="1" fontId="21" fillId="0" borderId="31"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0" fontId="30" fillId="0" borderId="57" xfId="0" applyFont="1" applyBorder="1" applyAlignment="1">
      <alignment horizontal="center" vertical="center" wrapText="1"/>
    </xf>
    <xf numFmtId="1" fontId="30" fillId="0" borderId="82" xfId="0" applyNumberFormat="1" applyFont="1" applyBorder="1" applyAlignment="1">
      <alignment horizontal="center" vertical="center" wrapText="1"/>
    </xf>
    <xf numFmtId="0" fontId="27" fillId="0" borderId="34"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3" xfId="0" applyFont="1" applyBorder="1" applyAlignment="1">
      <alignment horizontal="center" vertical="center" wrapText="1"/>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0" fontId="27" fillId="0" borderId="31"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31" xfId="0" applyFont="1" applyBorder="1" applyAlignment="1" applyProtection="1">
      <alignment horizontal="center" vertical="center" wrapText="1"/>
      <protection locked="0"/>
    </xf>
    <xf numFmtId="9" fontId="27" fillId="0" borderId="85"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1" fontId="21" fillId="0" borderId="44" xfId="0" applyNumberFormat="1" applyFont="1" applyBorder="1" applyAlignment="1">
      <alignment horizontal="center" vertical="center" wrapText="1"/>
    </xf>
    <xf numFmtId="10" fontId="27" fillId="0" borderId="0" xfId="0" applyNumberFormat="1" applyFont="1" applyAlignment="1">
      <alignment vertical="center" wrapText="1"/>
    </xf>
    <xf numFmtId="1" fontId="27" fillId="0" borderId="85" xfId="0" applyNumberFormat="1" applyFont="1" applyBorder="1" applyAlignment="1">
      <alignment horizontal="center" vertical="center" wrapText="1"/>
    </xf>
    <xf numFmtId="9" fontId="27" fillId="0" borderId="99" xfId="1" applyFont="1" applyBorder="1" applyAlignment="1">
      <alignment horizontal="center" vertical="center" wrapText="1"/>
    </xf>
    <xf numFmtId="0" fontId="27" fillId="0" borderId="90" xfId="0" applyFont="1" applyBorder="1" applyAlignment="1">
      <alignment horizontal="center" vertical="center" wrapText="1"/>
    </xf>
    <xf numFmtId="3" fontId="27" fillId="0" borderId="9" xfId="0" applyNumberFormat="1" applyFont="1" applyBorder="1" applyAlignment="1">
      <alignment horizontal="center" vertical="center" wrapText="1"/>
    </xf>
    <xf numFmtId="3" fontId="27" fillId="0" borderId="77" xfId="0" applyNumberFormat="1" applyFont="1" applyBorder="1" applyAlignment="1">
      <alignment horizontal="center" vertical="center" wrapText="1"/>
    </xf>
    <xf numFmtId="3" fontId="27" fillId="0" borderId="46" xfId="0" applyNumberFormat="1" applyFont="1" applyBorder="1" applyAlignment="1">
      <alignment horizontal="center" vertical="center" wrapText="1"/>
    </xf>
    <xf numFmtId="0" fontId="27" fillId="0" borderId="59" xfId="1" applyNumberFormat="1" applyFont="1" applyBorder="1" applyAlignment="1">
      <alignment horizontal="center" vertical="center" wrapText="1"/>
    </xf>
    <xf numFmtId="0" fontId="27" fillId="0" borderId="30" xfId="1" applyNumberFormat="1" applyFont="1" applyBorder="1" applyAlignment="1">
      <alignment horizontal="center" vertical="center" wrapText="1"/>
    </xf>
    <xf numFmtId="0" fontId="27" fillId="0" borderId="94" xfId="1" applyNumberFormat="1" applyFont="1" applyBorder="1" applyAlignment="1">
      <alignment horizontal="center" vertical="center" wrapText="1"/>
    </xf>
    <xf numFmtId="0" fontId="27" fillId="0" borderId="72" xfId="0" applyFont="1" applyFill="1" applyBorder="1" applyAlignment="1">
      <alignment horizontal="center" vertical="center" wrapText="1"/>
    </xf>
    <xf numFmtId="0" fontId="27" fillId="0" borderId="88" xfId="1" applyNumberFormat="1" applyFont="1" applyBorder="1" applyAlignment="1">
      <alignment horizontal="center" vertical="center" wrapText="1"/>
    </xf>
    <xf numFmtId="0" fontId="27" fillId="0" borderId="41" xfId="0" applyFont="1" applyFill="1" applyBorder="1" applyAlignment="1">
      <alignment horizontal="center" vertical="center" wrapText="1"/>
    </xf>
    <xf numFmtId="0" fontId="27" fillId="0" borderId="43" xfId="1" applyNumberFormat="1" applyFont="1" applyBorder="1" applyAlignment="1">
      <alignment horizontal="center" vertical="center" wrapText="1"/>
    </xf>
    <xf numFmtId="0" fontId="27" fillId="0" borderId="65" xfId="1" applyNumberFormat="1" applyFont="1" applyBorder="1" applyAlignment="1">
      <alignment horizontal="center" vertical="center" wrapText="1"/>
    </xf>
    <xf numFmtId="0" fontId="27" fillId="0" borderId="41" xfId="0" applyFont="1" applyBorder="1" applyAlignment="1">
      <alignment vertical="center" wrapText="1"/>
    </xf>
    <xf numFmtId="0" fontId="27" fillId="0" borderId="65" xfId="0" applyFont="1" applyBorder="1" applyAlignment="1" applyProtection="1">
      <alignment horizontal="center" vertical="center" wrapText="1"/>
      <protection locked="0"/>
    </xf>
    <xf numFmtId="0" fontId="27" fillId="0" borderId="55" xfId="0" applyFont="1" applyBorder="1" applyAlignment="1" applyProtection="1">
      <alignment horizontal="center" vertical="center" wrapText="1"/>
      <protection locked="0"/>
    </xf>
    <xf numFmtId="0" fontId="27" fillId="0" borderId="41" xfId="0" applyFont="1" applyBorder="1" applyAlignment="1" applyProtection="1">
      <alignment horizontal="justify" vertical="center" wrapText="1"/>
      <protection locked="0"/>
    </xf>
    <xf numFmtId="0" fontId="27" fillId="0" borderId="41" xfId="0" applyFont="1" applyBorder="1" applyAlignment="1" applyProtection="1">
      <alignment vertical="center" wrapText="1"/>
      <protection locked="0"/>
    </xf>
    <xf numFmtId="164" fontId="27" fillId="0" borderId="0" xfId="0" applyNumberFormat="1" applyFont="1" applyAlignment="1">
      <alignment vertical="center" wrapText="1"/>
    </xf>
    <xf numFmtId="164" fontId="27" fillId="0" borderId="0" xfId="0" applyNumberFormat="1" applyFont="1" applyAlignment="1" applyProtection="1">
      <alignment vertical="center" wrapText="1"/>
      <protection locked="0"/>
    </xf>
    <xf numFmtId="170" fontId="27" fillId="0" borderId="0" xfId="0" applyNumberFormat="1" applyFont="1" applyAlignment="1" applyProtection="1">
      <alignment vertical="center" wrapText="1"/>
      <protection locked="0"/>
    </xf>
    <xf numFmtId="9" fontId="30" fillId="0" borderId="61" xfId="0" applyNumberFormat="1" applyFont="1" applyBorder="1" applyAlignment="1">
      <alignment horizontal="center" vertical="center" wrapText="1"/>
    </xf>
    <xf numFmtId="9" fontId="27" fillId="0" borderId="90" xfId="1" applyFont="1" applyBorder="1" applyAlignment="1">
      <alignment horizontal="center" vertical="center" wrapText="1"/>
    </xf>
    <xf numFmtId="10" fontId="27" fillId="0" borderId="71" xfId="0" applyNumberFormat="1" applyFont="1" applyBorder="1" applyAlignment="1">
      <alignment vertical="center" wrapText="1"/>
    </xf>
    <xf numFmtId="10" fontId="27" fillId="3" borderId="72" xfId="1" applyNumberFormat="1" applyFont="1" applyFill="1" applyBorder="1" applyAlignment="1">
      <alignment horizontal="center" vertical="center" wrapText="1"/>
    </xf>
    <xf numFmtId="10" fontId="27" fillId="0" borderId="70" xfId="0" applyNumberFormat="1" applyFont="1" applyBorder="1" applyAlignment="1">
      <alignment horizontal="center" vertical="center" wrapText="1"/>
    </xf>
    <xf numFmtId="10" fontId="27" fillId="0" borderId="71" xfId="0" applyNumberFormat="1" applyFont="1" applyBorder="1" applyAlignment="1">
      <alignment horizontal="center" vertical="center" wrapText="1"/>
    </xf>
    <xf numFmtId="10" fontId="27" fillId="0" borderId="72" xfId="0" applyNumberFormat="1" applyFont="1" applyBorder="1" applyAlignment="1" applyProtection="1">
      <alignment horizontal="center" vertical="center" wrapText="1"/>
      <protection locked="0"/>
    </xf>
    <xf numFmtId="0" fontId="27" fillId="0" borderId="17" xfId="0" applyFont="1" applyBorder="1" applyAlignment="1">
      <alignment horizontal="center" vertical="center" wrapText="1"/>
    </xf>
    <xf numFmtId="0" fontId="27" fillId="0" borderId="48" xfId="0" applyFont="1" applyBorder="1" applyAlignment="1">
      <alignment vertical="center" wrapText="1"/>
    </xf>
    <xf numFmtId="0" fontId="27" fillId="0" borderId="47" xfId="0" applyFont="1" applyBorder="1" applyAlignment="1" applyProtection="1">
      <alignment horizontal="center" vertical="center" wrapText="1"/>
      <protection locked="0"/>
    </xf>
    <xf numFmtId="0" fontId="27" fillId="0" borderId="52" xfId="0" applyFont="1" applyBorder="1" applyAlignment="1" applyProtection="1">
      <alignment horizontal="center" vertical="center" wrapText="1"/>
      <protection locked="0"/>
    </xf>
    <xf numFmtId="0" fontId="27" fillId="0" borderId="48" xfId="0" applyFont="1" applyBorder="1" applyAlignment="1" applyProtection="1">
      <alignment horizontal="justify" vertical="center" wrapText="1"/>
      <protection locked="0"/>
    </xf>
    <xf numFmtId="0" fontId="27" fillId="0" borderId="48" xfId="0" applyFont="1" applyBorder="1" applyAlignment="1" applyProtection="1">
      <alignment vertical="center" wrapText="1"/>
      <protection locked="0"/>
    </xf>
    <xf numFmtId="10" fontId="30" fillId="10" borderId="61" xfId="0" applyNumberFormat="1" applyFont="1" applyFill="1" applyBorder="1" applyAlignment="1">
      <alignment horizontal="center" vertical="center" wrapText="1"/>
    </xf>
    <xf numFmtId="9" fontId="30" fillId="0" borderId="52" xfId="0" applyNumberFormat="1" applyFont="1" applyBorder="1" applyAlignment="1">
      <alignment horizontal="center" vertical="center" wrapText="1"/>
    </xf>
    <xf numFmtId="9" fontId="27" fillId="0" borderId="14" xfId="0" applyNumberFormat="1" applyFont="1" applyBorder="1" applyAlignment="1">
      <alignment horizontal="center" vertical="center" wrapText="1"/>
    </xf>
    <xf numFmtId="9" fontId="27" fillId="0" borderId="46" xfId="0" applyNumberFormat="1" applyFont="1" applyBorder="1" applyAlignment="1">
      <alignment horizontal="center" vertical="center" wrapText="1"/>
    </xf>
    <xf numFmtId="0" fontId="27" fillId="10" borderId="32" xfId="0" applyFont="1" applyFill="1" applyBorder="1" applyAlignment="1">
      <alignment horizontal="center" vertical="center" wrapText="1"/>
    </xf>
    <xf numFmtId="0" fontId="27" fillId="10" borderId="45" xfId="0" applyFont="1" applyFill="1" applyBorder="1" applyAlignment="1">
      <alignment horizontal="center" vertical="center" wrapText="1"/>
    </xf>
    <xf numFmtId="9" fontId="27" fillId="0" borderId="70" xfId="1" applyFont="1" applyBorder="1" applyAlignment="1">
      <alignment horizontal="center" vertical="center" wrapText="1"/>
    </xf>
    <xf numFmtId="164" fontId="27" fillId="0" borderId="0" xfId="1" applyNumberFormat="1" applyFont="1" applyAlignment="1">
      <alignment vertical="center" wrapText="1"/>
    </xf>
    <xf numFmtId="164" fontId="30" fillId="0" borderId="47" xfId="0" applyNumberFormat="1" applyFont="1" applyBorder="1" applyAlignment="1" applyProtection="1">
      <alignment horizontal="center" vertical="center" wrapText="1"/>
      <protection locked="0"/>
    </xf>
    <xf numFmtId="164" fontId="28" fillId="0" borderId="0" xfId="0" applyNumberFormat="1" applyFont="1" applyAlignment="1" applyProtection="1">
      <alignment vertical="center" wrapText="1"/>
      <protection locked="0"/>
    </xf>
    <xf numFmtId="9" fontId="16" fillId="0" borderId="59" xfId="1" applyFont="1" applyBorder="1" applyAlignment="1">
      <alignment horizontal="center" vertical="center" wrapText="1"/>
    </xf>
    <xf numFmtId="9" fontId="16" fillId="0" borderId="59" xfId="0" applyNumberFormat="1" applyFont="1" applyBorder="1" applyAlignment="1">
      <alignment horizontal="center" vertical="center" wrapText="1"/>
    </xf>
    <xf numFmtId="9" fontId="16" fillId="0" borderId="30" xfId="1" applyFont="1" applyBorder="1" applyAlignment="1">
      <alignment horizontal="center" vertical="center" wrapText="1"/>
    </xf>
    <xf numFmtId="9" fontId="16" fillId="0" borderId="43" xfId="1" applyFont="1" applyBorder="1" applyAlignment="1">
      <alignment horizontal="center" vertical="center" wrapText="1"/>
    </xf>
    <xf numFmtId="10" fontId="27" fillId="0" borderId="40" xfId="0" applyNumberFormat="1" applyFont="1" applyBorder="1" applyAlignment="1" applyProtection="1">
      <alignment horizontal="center" vertical="center" wrapText="1"/>
      <protection locked="0"/>
    </xf>
    <xf numFmtId="10" fontId="16" fillId="0" borderId="74" xfId="0" applyNumberFormat="1" applyFont="1" applyBorder="1" applyAlignment="1" applyProtection="1">
      <alignment horizontal="center" vertical="center" wrapText="1"/>
      <protection locked="0"/>
    </xf>
    <xf numFmtId="10" fontId="16" fillId="0" borderId="10" xfId="0" applyNumberFormat="1" applyFont="1" applyBorder="1" applyAlignment="1" applyProtection="1">
      <alignment horizontal="center" vertical="center" wrapText="1"/>
      <protection locked="0"/>
    </xf>
    <xf numFmtId="1" fontId="36" fillId="0" borderId="69" xfId="0" applyNumberFormat="1" applyFont="1" applyBorder="1" applyAlignment="1">
      <alignment horizontal="center" vertical="center" wrapText="1"/>
    </xf>
    <xf numFmtId="0" fontId="37" fillId="0" borderId="69" xfId="0" applyFont="1" applyBorder="1" applyAlignment="1">
      <alignment horizontal="center" vertical="center" wrapText="1"/>
    </xf>
    <xf numFmtId="9" fontId="36" fillId="0" borderId="69" xfId="0" applyNumberFormat="1" applyFont="1" applyBorder="1" applyAlignment="1">
      <alignment horizontal="center" vertical="center" wrapText="1"/>
    </xf>
    <xf numFmtId="9" fontId="36" fillId="0" borderId="60" xfId="0" applyNumberFormat="1" applyFont="1" applyBorder="1" applyAlignment="1">
      <alignment horizontal="center" vertical="center" wrapText="1"/>
    </xf>
    <xf numFmtId="0" fontId="36" fillId="0" borderId="59" xfId="0" applyFont="1" applyBorder="1" applyAlignment="1">
      <alignment horizontal="center" vertical="center" wrapText="1"/>
    </xf>
    <xf numFmtId="0" fontId="36" fillId="0" borderId="69" xfId="0" applyFont="1" applyBorder="1" applyAlignment="1">
      <alignment horizontal="center" vertical="center" wrapText="1"/>
    </xf>
    <xf numFmtId="10" fontId="36" fillId="0" borderId="69" xfId="0" applyNumberFormat="1" applyFont="1" applyBorder="1" applyAlignment="1">
      <alignment vertical="center" wrapText="1"/>
    </xf>
    <xf numFmtId="10" fontId="36" fillId="0" borderId="60" xfId="1" applyNumberFormat="1" applyFont="1" applyBorder="1" applyAlignment="1">
      <alignment vertical="center" wrapText="1"/>
    </xf>
    <xf numFmtId="10" fontId="36" fillId="3" borderId="63" xfId="1" applyNumberFormat="1" applyFont="1" applyFill="1" applyBorder="1" applyAlignment="1">
      <alignment horizontal="center" vertical="center" wrapText="1"/>
    </xf>
    <xf numFmtId="10" fontId="36" fillId="0" borderId="59" xfId="0" applyNumberFormat="1" applyFont="1" applyBorder="1" applyAlignment="1">
      <alignment horizontal="center" vertical="center" wrapText="1"/>
    </xf>
    <xf numFmtId="10" fontId="36" fillId="0" borderId="69" xfId="0" applyNumberFormat="1" applyFont="1" applyBorder="1" applyAlignment="1">
      <alignment horizontal="center" vertical="center" wrapText="1"/>
    </xf>
    <xf numFmtId="10" fontId="36" fillId="0" borderId="74" xfId="0" applyNumberFormat="1" applyFont="1" applyBorder="1" applyAlignment="1" applyProtection="1">
      <alignment horizontal="center" vertical="center" wrapText="1"/>
      <protection locked="0"/>
    </xf>
    <xf numFmtId="0" fontId="36" fillId="0" borderId="59" xfId="0" applyFont="1" applyBorder="1" applyAlignment="1" applyProtection="1">
      <alignment horizontal="center" vertical="center" wrapText="1"/>
      <protection locked="0"/>
    </xf>
    <xf numFmtId="0" fontId="36" fillId="0" borderId="69" xfId="0" applyFont="1" applyBorder="1" applyAlignment="1" applyProtection="1">
      <alignment horizontal="center" vertical="center" wrapText="1"/>
      <protection locked="0"/>
    </xf>
    <xf numFmtId="0" fontId="36" fillId="0" borderId="60" xfId="0" applyFont="1" applyBorder="1" applyAlignment="1" applyProtection="1">
      <alignment horizontal="center" vertical="center" wrapText="1"/>
      <protection locked="0"/>
    </xf>
    <xf numFmtId="0" fontId="37" fillId="0" borderId="0" xfId="0" applyFont="1"/>
    <xf numFmtId="1" fontId="36" fillId="0" borderId="31" xfId="0" applyNumberFormat="1" applyFont="1" applyBorder="1" applyAlignment="1">
      <alignment horizontal="center" vertical="center" wrapText="1"/>
    </xf>
    <xf numFmtId="0" fontId="37" fillId="0" borderId="31" xfId="0" applyFont="1" applyBorder="1" applyAlignment="1">
      <alignment horizontal="center" vertical="center" wrapText="1"/>
    </xf>
    <xf numFmtId="9" fontId="36" fillId="0" borderId="31" xfId="0" applyNumberFormat="1" applyFont="1" applyBorder="1" applyAlignment="1">
      <alignment horizontal="center" vertical="center" wrapText="1"/>
    </xf>
    <xf numFmtId="9" fontId="36" fillId="0" borderId="32" xfId="0" applyNumberFormat="1"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10" fontId="36" fillId="0" borderId="31" xfId="0" applyNumberFormat="1" applyFont="1" applyBorder="1" applyAlignment="1">
      <alignment vertical="center" wrapText="1"/>
    </xf>
    <xf numFmtId="10" fontId="36" fillId="0" borderId="32" xfId="1" applyNumberFormat="1" applyFont="1" applyBorder="1" applyAlignment="1">
      <alignment vertical="center" wrapText="1"/>
    </xf>
    <xf numFmtId="10" fontId="36" fillId="3" borderId="29" xfId="1" applyNumberFormat="1" applyFont="1" applyFill="1" applyBorder="1" applyAlignment="1">
      <alignment horizontal="center" vertical="center" wrapText="1"/>
    </xf>
    <xf numFmtId="10" fontId="36" fillId="0" borderId="30" xfId="0" applyNumberFormat="1" applyFont="1" applyBorder="1" applyAlignment="1">
      <alignment horizontal="center" vertical="center" wrapText="1"/>
    </xf>
    <xf numFmtId="10" fontId="36" fillId="0" borderId="31" xfId="0" applyNumberFormat="1" applyFont="1" applyBorder="1" applyAlignment="1">
      <alignment horizontal="center" vertical="center" wrapText="1"/>
    </xf>
    <xf numFmtId="10" fontId="36" fillId="0" borderId="10" xfId="0" applyNumberFormat="1" applyFont="1" applyBorder="1" applyAlignment="1" applyProtection="1">
      <alignment horizontal="center" vertical="center" wrapText="1"/>
      <protection locked="0"/>
    </xf>
    <xf numFmtId="0" fontId="36" fillId="0" borderId="32" xfId="0" applyFont="1" applyBorder="1" applyAlignment="1">
      <alignment vertical="center" wrapText="1"/>
    </xf>
    <xf numFmtId="0" fontId="36" fillId="0" borderId="30" xfId="0" applyFont="1" applyBorder="1" applyAlignment="1" applyProtection="1">
      <alignment horizontal="center" vertical="center" wrapText="1"/>
      <protection locked="0"/>
    </xf>
    <xf numFmtId="0" fontId="36" fillId="0" borderId="31" xfId="0" applyFont="1" applyBorder="1" applyAlignment="1" applyProtection="1">
      <alignment horizontal="center" vertical="center" wrapText="1"/>
      <protection locked="0"/>
    </xf>
    <xf numFmtId="0" fontId="36" fillId="0" borderId="32" xfId="0" applyFont="1" applyBorder="1" applyAlignment="1" applyProtection="1">
      <alignment horizontal="center" vertical="center" wrapText="1"/>
      <protection locked="0"/>
    </xf>
    <xf numFmtId="169" fontId="36" fillId="0" borderId="31" xfId="0" applyNumberFormat="1" applyFont="1" applyBorder="1" applyAlignment="1">
      <alignment horizontal="center" vertical="center" wrapText="1"/>
    </xf>
    <xf numFmtId="170" fontId="36" fillId="0" borderId="31" xfId="0" applyNumberFormat="1" applyFont="1" applyBorder="1" applyAlignment="1">
      <alignment horizontal="center" vertical="center" wrapText="1"/>
    </xf>
    <xf numFmtId="9" fontId="36" fillId="0" borderId="30" xfId="0" applyNumberFormat="1" applyFont="1" applyBorder="1" applyAlignment="1" applyProtection="1">
      <alignment horizontal="center" vertical="center" wrapText="1"/>
      <protection locked="0"/>
    </xf>
    <xf numFmtId="9" fontId="36" fillId="0" borderId="31" xfId="1" applyFont="1" applyBorder="1" applyAlignment="1">
      <alignment horizontal="center" vertical="center" wrapText="1"/>
    </xf>
    <xf numFmtId="1" fontId="36" fillId="0" borderId="30" xfId="1" applyNumberFormat="1" applyFont="1" applyBorder="1" applyAlignment="1">
      <alignment horizontal="center" vertical="center" wrapText="1"/>
    </xf>
    <xf numFmtId="1" fontId="36" fillId="0" borderId="31" xfId="1" applyNumberFormat="1" applyFont="1" applyBorder="1" applyAlignment="1">
      <alignment horizontal="center" vertical="center" wrapText="1"/>
    </xf>
    <xf numFmtId="10" fontId="36" fillId="0" borderId="32" xfId="0" applyNumberFormat="1" applyFont="1" applyBorder="1" applyAlignment="1">
      <alignment vertical="center" wrapText="1"/>
    </xf>
    <xf numFmtId="169" fontId="36" fillId="0" borderId="49" xfId="0" applyNumberFormat="1" applyFont="1" applyBorder="1" applyAlignment="1">
      <alignment horizontal="center" vertical="center" wrapText="1"/>
    </xf>
    <xf numFmtId="0" fontId="36" fillId="0" borderId="49" xfId="0" applyFont="1" applyBorder="1" applyAlignment="1">
      <alignment horizontal="center" vertical="center" wrapText="1"/>
    </xf>
    <xf numFmtId="9" fontId="36" fillId="0" borderId="49" xfId="0" applyNumberFormat="1" applyFont="1" applyBorder="1" applyAlignment="1">
      <alignment horizontal="center" vertical="center" wrapText="1"/>
    </xf>
    <xf numFmtId="9" fontId="36" fillId="0" borderId="56" xfId="0" applyNumberFormat="1" applyFont="1" applyBorder="1" applyAlignment="1">
      <alignment horizontal="center" vertical="center" wrapText="1"/>
    </xf>
    <xf numFmtId="170" fontId="36" fillId="0" borderId="57" xfId="1" applyNumberFormat="1" applyFont="1" applyBorder="1" applyAlignment="1">
      <alignment horizontal="center" vertical="center" wrapText="1"/>
    </xf>
    <xf numFmtId="9" fontId="36" fillId="0" borderId="49" xfId="1" applyFont="1" applyBorder="1" applyAlignment="1">
      <alignment horizontal="center" vertical="center" wrapText="1"/>
    </xf>
    <xf numFmtId="1" fontId="36" fillId="0" borderId="49" xfId="0" applyNumberFormat="1" applyFont="1" applyBorder="1" applyAlignment="1">
      <alignment horizontal="center" vertical="center" wrapText="1"/>
    </xf>
    <xf numFmtId="10" fontId="36" fillId="0" borderId="49" xfId="0" applyNumberFormat="1" applyFont="1" applyBorder="1" applyAlignment="1">
      <alignment vertical="center" wrapText="1"/>
    </xf>
    <xf numFmtId="10" fontId="36" fillId="0" borderId="56" xfId="0" applyNumberFormat="1" applyFont="1" applyBorder="1" applyAlignment="1">
      <alignment vertical="center" wrapText="1"/>
    </xf>
    <xf numFmtId="10" fontId="36" fillId="3" borderId="68" xfId="1" applyNumberFormat="1" applyFont="1" applyFill="1" applyBorder="1" applyAlignment="1">
      <alignment horizontal="center" vertical="center" wrapText="1"/>
    </xf>
    <xf numFmtId="10" fontId="36" fillId="0" borderId="57" xfId="0" applyNumberFormat="1" applyFont="1" applyBorder="1" applyAlignment="1">
      <alignment horizontal="center" vertical="center" wrapText="1"/>
    </xf>
    <xf numFmtId="10" fontId="36" fillId="0" borderId="49" xfId="0" applyNumberFormat="1" applyFont="1" applyBorder="1" applyAlignment="1">
      <alignment horizontal="center" vertical="center" wrapText="1"/>
    </xf>
    <xf numFmtId="10" fontId="36" fillId="0" borderId="87" xfId="0" applyNumberFormat="1" applyFont="1" applyBorder="1" applyAlignment="1" applyProtection="1">
      <alignment horizontal="center" vertical="center" wrapText="1"/>
      <protection locked="0"/>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57" xfId="0" applyFont="1" applyBorder="1" applyAlignment="1" applyProtection="1">
      <alignment horizontal="center" vertical="center" wrapText="1"/>
      <protection locked="0"/>
    </xf>
    <xf numFmtId="0" fontId="36" fillId="0" borderId="49" xfId="0" applyFont="1" applyBorder="1" applyAlignment="1" applyProtection="1">
      <alignment horizontal="center" vertical="center" wrapText="1"/>
      <protection locked="0"/>
    </xf>
    <xf numFmtId="0" fontId="36" fillId="0" borderId="56" xfId="0" applyFont="1" applyBorder="1" applyAlignment="1" applyProtection="1">
      <alignment horizontal="center" vertical="center" wrapText="1"/>
      <protection locked="0"/>
    </xf>
    <xf numFmtId="9" fontId="36" fillId="0" borderId="59" xfId="0" applyNumberFormat="1" applyFont="1" applyBorder="1" applyAlignment="1">
      <alignment horizontal="center" vertical="center" wrapText="1"/>
    </xf>
    <xf numFmtId="9" fontId="36" fillId="0" borderId="69" xfId="1" applyFont="1" applyBorder="1" applyAlignment="1">
      <alignment horizontal="center" vertical="center" wrapText="1"/>
    </xf>
    <xf numFmtId="10" fontId="36" fillId="0" borderId="60" xfId="0" applyNumberFormat="1" applyFont="1" applyBorder="1" applyAlignment="1">
      <alignment vertical="center" wrapText="1"/>
    </xf>
    <xf numFmtId="10" fontId="36" fillId="0" borderId="60" xfId="0" applyNumberFormat="1" applyFont="1" applyBorder="1" applyAlignment="1" applyProtection="1">
      <alignment horizontal="center" vertical="center" wrapText="1"/>
      <protection locked="0"/>
    </xf>
    <xf numFmtId="164" fontId="36" fillId="0" borderId="33" xfId="38" applyFont="1" applyBorder="1" applyAlignment="1" applyProtection="1">
      <alignment horizontal="center" vertical="center" wrapText="1"/>
      <protection locked="0"/>
    </xf>
    <xf numFmtId="164" fontId="36" fillId="0" borderId="34" xfId="38" applyFont="1" applyBorder="1" applyAlignment="1" applyProtection="1">
      <alignment horizontal="center" vertical="center" wrapText="1"/>
      <protection locked="0"/>
    </xf>
    <xf numFmtId="164" fontId="36" fillId="0" borderId="59" xfId="38" applyFont="1" applyBorder="1" applyAlignment="1" applyProtection="1">
      <alignment horizontal="center" vertical="center" wrapText="1"/>
      <protection locked="0"/>
    </xf>
    <xf numFmtId="164" fontId="36" fillId="0" borderId="69" xfId="38" applyFont="1" applyBorder="1" applyAlignment="1" applyProtection="1">
      <alignment horizontal="center" vertical="center" wrapText="1"/>
      <protection locked="0"/>
    </xf>
    <xf numFmtId="9" fontId="36" fillId="0" borderId="30" xfId="0" applyNumberFormat="1" applyFont="1" applyBorder="1" applyAlignment="1">
      <alignment horizontal="center" vertical="center" wrapText="1"/>
    </xf>
    <xf numFmtId="10" fontId="36" fillId="0" borderId="32" xfId="0" applyNumberFormat="1" applyFont="1" applyBorder="1" applyAlignment="1" applyProtection="1">
      <alignment horizontal="center" vertical="center" wrapText="1"/>
      <protection locked="0"/>
    </xf>
    <xf numFmtId="164" fontId="36" fillId="0" borderId="31" xfId="0" applyNumberFormat="1" applyFont="1" applyBorder="1" applyAlignment="1" applyProtection="1">
      <alignment horizontal="center" vertical="center" wrapText="1"/>
      <protection locked="0"/>
    </xf>
    <xf numFmtId="164" fontId="36" fillId="0" borderId="30" xfId="38" applyFont="1" applyBorder="1" applyAlignment="1">
      <alignment horizontal="center" vertical="center" wrapText="1"/>
    </xf>
    <xf numFmtId="164" fontId="36" fillId="0" borderId="31" xfId="38" applyFont="1" applyBorder="1" applyAlignment="1">
      <alignment horizontal="center" vertical="center" wrapText="1"/>
    </xf>
    <xf numFmtId="164" fontId="36" fillId="0" borderId="30" xfId="38" applyFont="1" applyBorder="1" applyAlignment="1" applyProtection="1">
      <alignment horizontal="center" vertical="center" wrapText="1"/>
      <protection locked="0"/>
    </xf>
    <xf numFmtId="164" fontId="36" fillId="0" borderId="31" xfId="38" applyFont="1" applyBorder="1" applyAlignment="1" applyProtection="1">
      <alignment horizontal="center" vertical="center" wrapText="1"/>
      <protection locked="0"/>
    </xf>
    <xf numFmtId="9" fontId="36" fillId="0" borderId="32" xfId="1" applyFont="1" applyBorder="1" applyAlignment="1" applyProtection="1">
      <alignment horizontal="center" vertical="center" wrapText="1"/>
      <protection locked="0"/>
    </xf>
    <xf numFmtId="9" fontId="36" fillId="0" borderId="49" xfId="0" applyNumberFormat="1" applyFont="1" applyBorder="1" applyAlignment="1" applyProtection="1">
      <alignment horizontal="center" vertical="center" wrapText="1"/>
      <protection locked="0"/>
    </xf>
    <xf numFmtId="9" fontId="36" fillId="0" borderId="57" xfId="1" applyFont="1" applyBorder="1" applyAlignment="1">
      <alignment horizontal="center" vertical="center" wrapText="1"/>
    </xf>
    <xf numFmtId="10" fontId="36" fillId="0" borderId="56" xfId="0" applyNumberFormat="1" applyFont="1" applyBorder="1" applyAlignment="1" applyProtection="1">
      <alignment horizontal="center" vertical="center" wrapText="1"/>
      <protection locked="0"/>
    </xf>
    <xf numFmtId="164" fontId="36" fillId="0" borderId="49" xfId="38" applyFont="1" applyBorder="1" applyAlignment="1" applyProtection="1">
      <alignment horizontal="center" vertical="center" wrapText="1"/>
      <protection locked="0"/>
    </xf>
    <xf numFmtId="170" fontId="36" fillId="0" borderId="56" xfId="1" applyNumberFormat="1" applyFont="1" applyBorder="1" applyAlignment="1" applyProtection="1">
      <alignment horizontal="center" vertical="center" wrapText="1"/>
      <protection locked="0"/>
    </xf>
    <xf numFmtId="164" fontId="36" fillId="0" borderId="57" xfId="38" applyFont="1" applyBorder="1" applyAlignment="1" applyProtection="1">
      <alignment horizontal="center" vertical="center" wrapText="1"/>
      <protection locked="0"/>
    </xf>
    <xf numFmtId="0" fontId="36" fillId="0" borderId="84" xfId="0" applyFont="1" applyBorder="1" applyAlignment="1">
      <alignment horizontal="center" vertical="center" wrapText="1"/>
    </xf>
    <xf numFmtId="1" fontId="36" fillId="0" borderId="85" xfId="0" applyNumberFormat="1" applyFont="1" applyBorder="1" applyAlignment="1">
      <alignment horizontal="center" vertical="center" wrapText="1"/>
    </xf>
    <xf numFmtId="9" fontId="36" fillId="0" borderId="85" xfId="1" applyFont="1" applyBorder="1" applyAlignment="1">
      <alignment horizontal="center" vertical="center" wrapText="1"/>
    </xf>
    <xf numFmtId="0" fontId="36" fillId="10" borderId="85" xfId="0" applyFont="1" applyFill="1" applyBorder="1" applyAlignment="1">
      <alignment horizontal="center" vertical="center" wrapText="1"/>
    </xf>
    <xf numFmtId="0" fontId="36" fillId="0" borderId="85" xfId="0" applyFont="1" applyBorder="1" applyAlignment="1">
      <alignment horizontal="center" vertical="center" wrapText="1"/>
    </xf>
    <xf numFmtId="9" fontId="36" fillId="0" borderId="85" xfId="0" applyNumberFormat="1" applyFont="1" applyBorder="1" applyAlignment="1">
      <alignment horizontal="center" vertical="center" wrapText="1"/>
    </xf>
    <xf numFmtId="9" fontId="36" fillId="0" borderId="78" xfId="0" applyNumberFormat="1" applyFont="1" applyBorder="1" applyAlignment="1">
      <alignment horizontal="center" vertical="center" wrapText="1"/>
    </xf>
    <xf numFmtId="9" fontId="36" fillId="0" borderId="84" xfId="1" applyFont="1" applyBorder="1" applyAlignment="1">
      <alignment horizontal="center" vertical="center" wrapText="1"/>
    </xf>
    <xf numFmtId="10" fontId="36" fillId="3" borderId="80" xfId="1" applyNumberFormat="1" applyFont="1" applyFill="1" applyBorder="1" applyAlignment="1">
      <alignment horizontal="center" vertical="center" wrapText="1"/>
    </xf>
    <xf numFmtId="10" fontId="36" fillId="0" borderId="84" xfId="0" applyNumberFormat="1" applyFont="1" applyBorder="1" applyAlignment="1">
      <alignment horizontal="center" vertical="center" wrapText="1"/>
    </xf>
    <xf numFmtId="10" fontId="36" fillId="0" borderId="85" xfId="0" applyNumberFormat="1" applyFont="1" applyBorder="1" applyAlignment="1">
      <alignment horizontal="center" vertical="center" wrapText="1"/>
    </xf>
    <xf numFmtId="10" fontId="36" fillId="0" borderId="78" xfId="0" applyNumberFormat="1" applyFont="1" applyBorder="1" applyAlignment="1" applyProtection="1">
      <alignment horizontal="center" vertical="center" wrapText="1"/>
      <protection locked="0"/>
    </xf>
    <xf numFmtId="0" fontId="36" fillId="0" borderId="84" xfId="0" applyFont="1" applyBorder="1" applyAlignment="1">
      <alignment vertical="center" wrapText="1"/>
    </xf>
    <xf numFmtId="0" fontId="36" fillId="0" borderId="85" xfId="0" applyFont="1" applyBorder="1" applyAlignment="1">
      <alignment vertical="center" wrapText="1"/>
    </xf>
    <xf numFmtId="0" fontId="36" fillId="0" borderId="78" xfId="0" applyFont="1" applyBorder="1" applyAlignment="1">
      <alignment vertical="center" wrapText="1"/>
    </xf>
    <xf numFmtId="0" fontId="36" fillId="0" borderId="84" xfId="0" applyFont="1" applyBorder="1" applyAlignment="1" applyProtection="1">
      <alignment horizontal="center" vertical="center" wrapText="1"/>
      <protection locked="0"/>
    </xf>
    <xf numFmtId="0" fontId="36" fillId="0" borderId="85" xfId="0" applyFont="1" applyBorder="1" applyAlignment="1" applyProtection="1">
      <alignment horizontal="center" vertical="center" wrapText="1"/>
      <protection locked="0"/>
    </xf>
    <xf numFmtId="0" fontId="36" fillId="0" borderId="78"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9" fontId="36" fillId="10" borderId="69" xfId="0" applyNumberFormat="1" applyFont="1" applyFill="1" applyBorder="1" applyAlignment="1">
      <alignment horizontal="center" vertical="center" wrapText="1"/>
    </xf>
    <xf numFmtId="9" fontId="36" fillId="0" borderId="59" xfId="1" applyFont="1" applyBorder="1" applyAlignment="1">
      <alignment horizontal="center" vertical="center" wrapText="1"/>
    </xf>
    <xf numFmtId="0" fontId="36" fillId="0" borderId="59" xfId="0" applyFont="1" applyBorder="1" applyAlignment="1">
      <alignment vertical="center" wrapText="1"/>
    </xf>
    <xf numFmtId="0" fontId="36" fillId="0" borderId="69" xfId="0" applyFont="1" applyBorder="1" applyAlignment="1">
      <alignment vertical="center" wrapText="1"/>
    </xf>
    <xf numFmtId="0" fontId="36" fillId="10" borderId="49" xfId="0" applyFont="1" applyFill="1" applyBorder="1" applyAlignment="1">
      <alignment horizontal="center" vertical="center" wrapText="1"/>
    </xf>
    <xf numFmtId="9" fontId="36" fillId="0" borderId="57" xfId="0" applyNumberFormat="1" applyFont="1" applyBorder="1" applyAlignment="1">
      <alignment horizontal="center" vertical="center" wrapText="1"/>
    </xf>
    <xf numFmtId="0" fontId="36" fillId="0" borderId="57" xfId="0" applyFont="1" applyBorder="1" applyAlignment="1">
      <alignment horizontal="center" vertical="center" wrapText="1"/>
    </xf>
    <xf numFmtId="0" fontId="36" fillId="0" borderId="43" xfId="0" applyFont="1" applyBorder="1" applyAlignment="1">
      <alignment vertical="center" wrapText="1"/>
    </xf>
    <xf numFmtId="0" fontId="36" fillId="0" borderId="44" xfId="0" applyFont="1" applyBorder="1" applyAlignment="1">
      <alignment vertical="center" wrapText="1"/>
    </xf>
    <xf numFmtId="1" fontId="36" fillId="0" borderId="59" xfId="0" applyNumberFormat="1" applyFont="1" applyBorder="1" applyAlignment="1">
      <alignment horizontal="center" vertical="center" wrapText="1"/>
    </xf>
    <xf numFmtId="0" fontId="36" fillId="0" borderId="33"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5" xfId="0" applyFont="1" applyBorder="1" applyAlignment="1">
      <alignment vertical="center" wrapText="1"/>
    </xf>
    <xf numFmtId="0" fontId="36" fillId="0" borderId="60" xfId="0" applyFont="1" applyBorder="1" applyAlignment="1" applyProtection="1">
      <alignment horizontal="justify" vertical="center" wrapText="1"/>
      <protection locked="0"/>
    </xf>
    <xf numFmtId="0" fontId="36" fillId="0" borderId="60" xfId="0" applyFont="1" applyBorder="1" applyAlignment="1" applyProtection="1">
      <alignment vertical="center" wrapText="1"/>
      <protection locked="0"/>
    </xf>
    <xf numFmtId="1" fontId="36" fillId="0" borderId="30" xfId="0" applyNumberFormat="1" applyFont="1" applyBorder="1" applyAlignment="1">
      <alignment horizontal="center" vertical="center" wrapText="1"/>
    </xf>
    <xf numFmtId="10" fontId="36" fillId="0" borderId="35" xfId="0" applyNumberFormat="1" applyFont="1" applyBorder="1" applyAlignment="1">
      <alignment vertical="center" wrapText="1"/>
    </xf>
    <xf numFmtId="0" fontId="36" fillId="0" borderId="32" xfId="0" applyFont="1" applyBorder="1" applyAlignment="1" applyProtection="1">
      <alignment horizontal="justify" vertical="center" wrapText="1"/>
      <protection locked="0"/>
    </xf>
    <xf numFmtId="0" fontId="36" fillId="0" borderId="32" xfId="0" applyFont="1" applyBorder="1" applyAlignment="1" applyProtection="1">
      <alignment vertical="center" wrapText="1"/>
      <protection locked="0"/>
    </xf>
    <xf numFmtId="3" fontId="36" fillId="0" borderId="31" xfId="1" applyNumberFormat="1" applyFont="1" applyBorder="1" applyAlignment="1">
      <alignment horizontal="center" vertical="center" wrapText="1"/>
    </xf>
    <xf numFmtId="0" fontId="36" fillId="0" borderId="30" xfId="0" applyFont="1" applyBorder="1" applyAlignment="1" applyProtection="1">
      <alignment vertical="center" wrapText="1"/>
      <protection locked="0"/>
    </xf>
    <xf numFmtId="0" fontId="36" fillId="0" borderId="31" xfId="0" applyFont="1" applyBorder="1" applyAlignment="1" applyProtection="1">
      <alignment vertical="center" wrapText="1"/>
      <protection locked="0"/>
    </xf>
    <xf numFmtId="1" fontId="36" fillId="0" borderId="49" xfId="1" applyNumberFormat="1" applyFont="1" applyBorder="1" applyAlignment="1">
      <alignment horizontal="center" vertical="center" wrapText="1"/>
    </xf>
    <xf numFmtId="0" fontId="36" fillId="0" borderId="65"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56" xfId="0" applyFont="1" applyBorder="1" applyAlignment="1">
      <alignment vertical="center" wrapText="1"/>
    </xf>
    <xf numFmtId="0" fontId="36" fillId="0" borderId="57" xfId="0" applyFont="1" applyBorder="1" applyAlignment="1" applyProtection="1">
      <alignment vertical="center" wrapText="1"/>
      <protection locked="0"/>
    </xf>
    <xf numFmtId="0" fontId="36" fillId="0" borderId="49" xfId="0" applyFont="1" applyBorder="1" applyAlignment="1" applyProtection="1">
      <alignment vertical="center" wrapText="1"/>
      <protection locked="0"/>
    </xf>
    <xf numFmtId="0" fontId="36" fillId="0" borderId="56" xfId="0" applyFont="1" applyBorder="1" applyAlignment="1" applyProtection="1">
      <alignment horizontal="justify" vertical="center" wrapText="1"/>
      <protection locked="0"/>
    </xf>
    <xf numFmtId="0" fontId="36" fillId="0" borderId="56" xfId="0" applyFont="1" applyBorder="1" applyAlignment="1" applyProtection="1">
      <alignment vertical="center" wrapText="1"/>
      <protection locked="0"/>
    </xf>
    <xf numFmtId="9" fontId="36" fillId="10" borderId="69" xfId="1" applyFont="1" applyFill="1" applyBorder="1" applyAlignment="1">
      <alignment horizontal="center" vertical="center" wrapText="1"/>
    </xf>
    <xf numFmtId="9" fontId="36" fillId="0" borderId="74" xfId="0" applyNumberFormat="1" applyFont="1" applyBorder="1" applyAlignment="1">
      <alignment horizontal="center" vertical="center" wrapText="1"/>
    </xf>
    <xf numFmtId="10" fontId="36" fillId="3" borderId="60" xfId="1" applyNumberFormat="1" applyFont="1" applyFill="1" applyBorder="1" applyAlignment="1">
      <alignment horizontal="center" vertical="center" wrapText="1"/>
    </xf>
    <xf numFmtId="10" fontId="36" fillId="0" borderId="3" xfId="0" applyNumberFormat="1" applyFont="1" applyBorder="1" applyAlignment="1">
      <alignment horizontal="center" vertical="center" wrapText="1"/>
    </xf>
    <xf numFmtId="0" fontId="36" fillId="0" borderId="36" xfId="0" applyFont="1" applyBorder="1" applyAlignment="1">
      <alignment horizontal="center" vertical="center" wrapText="1"/>
    </xf>
    <xf numFmtId="0" fontId="36" fillId="0" borderId="0" xfId="0" applyFont="1" applyAlignment="1" applyProtection="1">
      <alignment vertical="center" wrapText="1"/>
      <protection locked="0"/>
    </xf>
    <xf numFmtId="9" fontId="36" fillId="10" borderId="31" xfId="1" applyFont="1" applyFill="1" applyBorder="1" applyAlignment="1">
      <alignment horizontal="center" vertical="center" wrapText="1"/>
    </xf>
    <xf numFmtId="9" fontId="36" fillId="0" borderId="55" xfId="0" applyNumberFormat="1" applyFont="1" applyBorder="1" applyAlignment="1">
      <alignment horizontal="center" vertical="center" wrapText="1"/>
    </xf>
    <xf numFmtId="9" fontId="36" fillId="0" borderId="10" xfId="0" applyNumberFormat="1" applyFont="1" applyBorder="1" applyAlignment="1">
      <alignment horizontal="center" vertical="center" wrapText="1"/>
    </xf>
    <xf numFmtId="9" fontId="36" fillId="0" borderId="30" xfId="1" applyFont="1" applyBorder="1" applyAlignment="1">
      <alignment horizontal="center" vertical="center" wrapText="1"/>
    </xf>
    <xf numFmtId="10" fontId="36" fillId="3" borderId="32" xfId="1" applyNumberFormat="1" applyFont="1" applyFill="1" applyBorder="1" applyAlignment="1">
      <alignment horizontal="center" vertical="center" wrapText="1"/>
    </xf>
    <xf numFmtId="10" fontId="36" fillId="0" borderId="14" xfId="0" applyNumberFormat="1" applyFont="1" applyBorder="1" applyAlignment="1">
      <alignment horizontal="center" vertical="center" wrapText="1"/>
    </xf>
    <xf numFmtId="0" fontId="36" fillId="0" borderId="41" xfId="0" applyFont="1" applyBorder="1" applyAlignment="1">
      <alignment vertical="center" wrapText="1"/>
    </xf>
    <xf numFmtId="0" fontId="36" fillId="0" borderId="65" xfId="0" applyFont="1" applyBorder="1" applyAlignment="1" applyProtection="1">
      <alignment horizontal="center" vertical="center" wrapText="1"/>
      <protection locked="0"/>
    </xf>
    <xf numFmtId="0" fontId="36" fillId="0" borderId="55" xfId="0" applyFont="1" applyBorder="1" applyAlignment="1" applyProtection="1">
      <alignment horizontal="center" vertical="center" wrapText="1"/>
      <protection locked="0"/>
    </xf>
    <xf numFmtId="0" fontId="36" fillId="0" borderId="41" xfId="0" applyFont="1" applyBorder="1" applyAlignment="1" applyProtection="1">
      <alignment horizontal="justify" vertical="center" wrapText="1"/>
      <protection locked="0"/>
    </xf>
    <xf numFmtId="0" fontId="36" fillId="0" borderId="41" xfId="0" applyFont="1" applyBorder="1" applyAlignment="1" applyProtection="1">
      <alignment vertical="center" wrapText="1"/>
      <protection locked="0"/>
    </xf>
    <xf numFmtId="1" fontId="36" fillId="0" borderId="55" xfId="0" applyNumberFormat="1" applyFont="1" applyBorder="1" applyAlignment="1">
      <alignment horizontal="center" vertical="center" wrapText="1"/>
    </xf>
    <xf numFmtId="9" fontId="36" fillId="10" borderId="55" xfId="1" applyFont="1" applyFill="1" applyBorder="1" applyAlignment="1">
      <alignment horizontal="center" vertical="center" wrapText="1"/>
    </xf>
    <xf numFmtId="10" fontId="36" fillId="0" borderId="36" xfId="0" applyNumberFormat="1" applyFont="1" applyBorder="1" applyAlignment="1">
      <alignment horizontal="center" vertical="center" wrapText="1"/>
    </xf>
    <xf numFmtId="1" fontId="36" fillId="0" borderId="34" xfId="0" applyNumberFormat="1" applyFont="1" applyBorder="1" applyAlignment="1">
      <alignment horizontal="center" vertical="center" wrapText="1"/>
    </xf>
    <xf numFmtId="10" fontId="36" fillId="0" borderId="34" xfId="0" applyNumberFormat="1" applyFont="1" applyBorder="1" applyAlignment="1">
      <alignment horizontal="center" vertical="center" wrapText="1"/>
    </xf>
    <xf numFmtId="10" fontId="36" fillId="0" borderId="35" xfId="0" applyNumberFormat="1" applyFont="1" applyBorder="1" applyAlignment="1" applyProtection="1">
      <alignment horizontal="center" vertical="center" wrapText="1"/>
      <protection locked="0"/>
    </xf>
    <xf numFmtId="1" fontId="36" fillId="0" borderId="44" xfId="0" applyNumberFormat="1" applyFont="1" applyBorder="1" applyAlignment="1">
      <alignment horizontal="center" vertical="center" wrapText="1"/>
    </xf>
    <xf numFmtId="10" fontId="36" fillId="10" borderId="44" xfId="0" applyNumberFormat="1" applyFont="1" applyFill="1" applyBorder="1" applyAlignment="1">
      <alignment horizontal="center" vertical="center" wrapText="1"/>
    </xf>
    <xf numFmtId="9" fontId="36" fillId="0" borderId="44" xfId="0" applyNumberFormat="1" applyFont="1" applyBorder="1" applyAlignment="1">
      <alignment horizontal="center" vertical="center" wrapText="1"/>
    </xf>
    <xf numFmtId="9" fontId="36" fillId="0" borderId="18" xfId="0" applyNumberFormat="1" applyFont="1" applyBorder="1" applyAlignment="1">
      <alignment horizontal="center" vertical="center" wrapText="1"/>
    </xf>
    <xf numFmtId="9" fontId="36" fillId="0" borderId="43" xfId="1" applyFont="1" applyBorder="1" applyAlignment="1">
      <alignment horizontal="center" vertical="center" wrapText="1"/>
    </xf>
    <xf numFmtId="9" fontId="36" fillId="0" borderId="44" xfId="1" applyFont="1" applyBorder="1" applyAlignment="1">
      <alignment horizontal="center" vertical="center" wrapText="1"/>
    </xf>
    <xf numFmtId="10" fontId="36" fillId="0" borderId="44" xfId="0" applyNumberFormat="1" applyFont="1" applyBorder="1" applyAlignment="1">
      <alignment vertical="center" wrapText="1"/>
    </xf>
    <xf numFmtId="10" fontId="36" fillId="3" borderId="45" xfId="1" applyNumberFormat="1" applyFont="1" applyFill="1" applyBorder="1" applyAlignment="1">
      <alignment horizontal="center" vertical="center" wrapText="1"/>
    </xf>
    <xf numFmtId="10" fontId="36" fillId="0" borderId="46" xfId="0" applyNumberFormat="1" applyFont="1" applyBorder="1" applyAlignment="1">
      <alignment horizontal="center" vertical="center" wrapText="1"/>
    </xf>
    <xf numFmtId="10" fontId="36" fillId="0" borderId="44" xfId="0" applyNumberFormat="1" applyFont="1" applyBorder="1" applyAlignment="1">
      <alignment horizontal="center" vertical="center" wrapText="1"/>
    </xf>
    <xf numFmtId="10" fontId="36" fillId="0" borderId="45" xfId="0" applyNumberFormat="1" applyFont="1" applyBorder="1" applyAlignment="1" applyProtection="1">
      <alignment horizontal="center" vertical="center" wrapText="1"/>
      <protection locked="0"/>
    </xf>
    <xf numFmtId="164" fontId="36" fillId="0" borderId="9" xfId="38" applyFont="1" applyBorder="1" applyAlignment="1">
      <alignment horizontal="center" vertical="center" wrapText="1"/>
    </xf>
    <xf numFmtId="164" fontId="36" fillId="0" borderId="55" xfId="38" applyFont="1" applyBorder="1" applyAlignment="1">
      <alignment horizontal="center" vertical="center" wrapText="1"/>
    </xf>
    <xf numFmtId="171" fontId="36" fillId="0" borderId="56" xfId="0" applyNumberFormat="1" applyFont="1" applyBorder="1" applyAlignment="1">
      <alignment vertical="center" wrapText="1"/>
    </xf>
    <xf numFmtId="0" fontId="36" fillId="0" borderId="69" xfId="1" applyNumberFormat="1" applyFont="1" applyBorder="1" applyAlignment="1">
      <alignment horizontal="center" vertical="center" wrapText="1"/>
    </xf>
    <xf numFmtId="3" fontId="36" fillId="0" borderId="69" xfId="0" applyNumberFormat="1" applyFont="1" applyBorder="1" applyAlignment="1">
      <alignment horizontal="center" vertical="center" wrapText="1"/>
    </xf>
    <xf numFmtId="1" fontId="36" fillId="0" borderId="33" xfId="0" applyNumberFormat="1" applyFont="1" applyFill="1" applyBorder="1" applyAlignment="1">
      <alignment horizontal="center" vertical="center" wrapText="1"/>
    </xf>
    <xf numFmtId="10" fontId="36" fillId="0" borderId="34" xfId="0" applyNumberFormat="1" applyFont="1" applyBorder="1" applyAlignment="1">
      <alignment vertical="center" wrapText="1"/>
    </xf>
    <xf numFmtId="1" fontId="36" fillId="0" borderId="34" xfId="1" applyNumberFormat="1" applyFont="1" applyBorder="1" applyAlignment="1">
      <alignment horizontal="center" vertical="center" wrapText="1"/>
    </xf>
    <xf numFmtId="10" fontId="36" fillId="3" borderId="89" xfId="1" applyNumberFormat="1" applyFont="1" applyFill="1" applyBorder="1" applyAlignment="1">
      <alignment horizontal="center" vertical="center" wrapText="1"/>
    </xf>
    <xf numFmtId="0" fontId="36" fillId="0" borderId="77" xfId="0" applyFont="1" applyBorder="1" applyAlignment="1" applyProtection="1">
      <alignment vertical="center" wrapText="1"/>
      <protection locked="0"/>
    </xf>
    <xf numFmtId="0" fontId="36" fillId="0" borderId="31" xfId="1" applyNumberFormat="1" applyFont="1" applyBorder="1" applyAlignment="1">
      <alignment horizontal="center" vertical="center" wrapText="1"/>
    </xf>
    <xf numFmtId="0" fontId="36" fillId="0" borderId="31" xfId="0" applyFont="1" applyFill="1" applyBorder="1" applyAlignment="1">
      <alignment horizontal="center" vertical="center" wrapText="1"/>
    </xf>
    <xf numFmtId="1" fontId="36" fillId="0" borderId="31" xfId="0" applyNumberFormat="1" applyFont="1" applyFill="1" applyBorder="1" applyAlignment="1">
      <alignment horizontal="center" vertical="center" wrapText="1"/>
    </xf>
    <xf numFmtId="0" fontId="36" fillId="0" borderId="14" xfId="0" applyFont="1" applyBorder="1" applyAlignment="1" applyProtection="1">
      <alignment vertical="center" wrapText="1"/>
      <protection locked="0"/>
    </xf>
    <xf numFmtId="0" fontId="36" fillId="0" borderId="30" xfId="0" applyFont="1" applyFill="1" applyBorder="1" applyAlignment="1">
      <alignment horizontal="center" vertical="center" wrapText="1"/>
    </xf>
    <xf numFmtId="0" fontId="36" fillId="0" borderId="32" xfId="0" applyFont="1" applyBorder="1" applyAlignment="1">
      <alignment horizontal="justify" vertical="center" wrapText="1"/>
    </xf>
    <xf numFmtId="3" fontId="36" fillId="0" borderId="31" xfId="0" applyNumberFormat="1" applyFont="1" applyBorder="1" applyAlignment="1">
      <alignment horizontal="center" vertical="center" wrapText="1"/>
    </xf>
    <xf numFmtId="0" fontId="36" fillId="0" borderId="49" xfId="1" applyNumberFormat="1" applyFont="1" applyBorder="1" applyAlignment="1">
      <alignment horizontal="center" vertical="center" wrapText="1"/>
    </xf>
    <xf numFmtId="0" fontId="36" fillId="0" borderId="49" xfId="0" applyFont="1" applyFill="1" applyBorder="1" applyAlignment="1">
      <alignment horizontal="center" vertical="center" wrapText="1"/>
    </xf>
    <xf numFmtId="3" fontId="36" fillId="0" borderId="49" xfId="0" applyNumberFormat="1" applyFont="1" applyBorder="1" applyAlignment="1">
      <alignment horizontal="center" vertical="center" wrapText="1"/>
    </xf>
    <xf numFmtId="0" fontId="36" fillId="0" borderId="57" xfId="0" applyFont="1" applyFill="1" applyBorder="1" applyAlignment="1">
      <alignment horizontal="center" vertical="center" wrapText="1"/>
    </xf>
    <xf numFmtId="0" fontId="36" fillId="0" borderId="56" xfId="0" applyFont="1" applyBorder="1" applyAlignment="1">
      <alignment horizontal="justify" vertical="center" wrapText="1"/>
    </xf>
    <xf numFmtId="0" fontId="36" fillId="0" borderId="86" xfId="0" applyFont="1" applyBorder="1" applyAlignment="1" applyProtection="1">
      <alignment vertical="center" wrapText="1"/>
      <protection locked="0"/>
    </xf>
    <xf numFmtId="0" fontId="36" fillId="0" borderId="85" xfId="1" applyNumberFormat="1" applyFont="1" applyBorder="1" applyAlignment="1">
      <alignment horizontal="center" vertical="center" wrapText="1"/>
    </xf>
    <xf numFmtId="0" fontId="36" fillId="0" borderId="85" xfId="0" applyFont="1" applyFill="1" applyBorder="1" applyAlignment="1">
      <alignment horizontal="center" vertical="center" wrapText="1"/>
    </xf>
    <xf numFmtId="0" fontId="36" fillId="0" borderId="84" xfId="0" applyFont="1" applyFill="1" applyBorder="1" applyAlignment="1">
      <alignment horizontal="center" vertical="center" wrapText="1"/>
    </xf>
    <xf numFmtId="0" fontId="36" fillId="0" borderId="84" xfId="0" applyFont="1" applyBorder="1" applyAlignment="1" applyProtection="1">
      <alignment vertical="center" wrapText="1"/>
      <protection locked="0"/>
    </xf>
    <xf numFmtId="0" fontId="36" fillId="0" borderId="85" xfId="0" applyFont="1" applyBorder="1" applyAlignment="1" applyProtection="1">
      <alignment vertical="center" wrapText="1"/>
      <protection locked="0"/>
    </xf>
    <xf numFmtId="0" fontId="36" fillId="0" borderId="78" xfId="0" applyFont="1" applyBorder="1" applyAlignment="1">
      <alignment horizontal="justify" vertical="center" wrapText="1"/>
    </xf>
    <xf numFmtId="0" fontId="36" fillId="0" borderId="78" xfId="0" applyFont="1" applyBorder="1" applyAlignment="1" applyProtection="1">
      <alignment vertical="center" wrapText="1"/>
      <protection locked="0"/>
    </xf>
    <xf numFmtId="0" fontId="36" fillId="0" borderId="3" xfId="0" applyFont="1" applyBorder="1" applyAlignment="1" applyProtection="1">
      <alignment vertical="center" wrapText="1"/>
      <protection locked="0"/>
    </xf>
    <xf numFmtId="3" fontId="36" fillId="0" borderId="85" xfId="0" applyNumberFormat="1" applyFont="1" applyBorder="1" applyAlignment="1">
      <alignment horizontal="center" vertical="center" wrapText="1"/>
    </xf>
    <xf numFmtId="0" fontId="36" fillId="0" borderId="69" xfId="0" applyFont="1" applyFill="1" applyBorder="1" applyAlignment="1">
      <alignment horizontal="center" vertical="center" wrapText="1"/>
    </xf>
    <xf numFmtId="43" fontId="36" fillId="0" borderId="59" xfId="37" applyFont="1" applyFill="1" applyBorder="1" applyAlignment="1">
      <alignment horizontal="center" vertical="center" wrapText="1"/>
    </xf>
    <xf numFmtId="1" fontId="36" fillId="0" borderId="69" xfId="1" applyNumberFormat="1" applyFont="1" applyBorder="1" applyAlignment="1">
      <alignment horizontal="center" vertical="center" wrapText="1"/>
    </xf>
    <xf numFmtId="0" fontId="36" fillId="0" borderId="69" xfId="0" applyFont="1" applyBorder="1" applyAlignment="1" applyProtection="1">
      <alignment vertical="center" wrapText="1"/>
      <protection locked="0"/>
    </xf>
    <xf numFmtId="0" fontId="36" fillId="0" borderId="60" xfId="0" applyFont="1" applyBorder="1" applyAlignment="1">
      <alignment horizontal="justify" vertical="center" wrapText="1"/>
    </xf>
    <xf numFmtId="0" fontId="36" fillId="0" borderId="59" xfId="0" applyFont="1" applyBorder="1" applyAlignment="1" applyProtection="1">
      <alignment vertical="center" wrapText="1"/>
      <protection locked="0"/>
    </xf>
    <xf numFmtId="9" fontId="36" fillId="0" borderId="57" xfId="0" applyNumberFormat="1" applyFont="1" applyFill="1" applyBorder="1" applyAlignment="1">
      <alignment horizontal="center" vertical="center" wrapText="1"/>
    </xf>
    <xf numFmtId="9" fontId="36" fillId="0" borderId="49" xfId="0" applyNumberFormat="1" applyFont="1" applyFill="1" applyBorder="1" applyAlignment="1">
      <alignment horizontal="center" vertical="center" wrapText="1"/>
    </xf>
    <xf numFmtId="1" fontId="36" fillId="0" borderId="69" xfId="0" applyNumberFormat="1" applyFont="1" applyFill="1" applyBorder="1" applyAlignment="1">
      <alignment horizontal="center" vertical="center" wrapText="1"/>
    </xf>
    <xf numFmtId="169" fontId="36" fillId="0" borderId="69" xfId="0" applyNumberFormat="1" applyFont="1" applyBorder="1" applyAlignment="1">
      <alignment horizontal="center" vertical="center" wrapText="1"/>
    </xf>
    <xf numFmtId="0" fontId="37" fillId="0" borderId="77" xfId="0" applyFont="1" applyBorder="1"/>
    <xf numFmtId="0" fontId="37" fillId="0" borderId="60" xfId="0" applyFont="1" applyBorder="1"/>
    <xf numFmtId="0" fontId="37" fillId="0" borderId="14" xfId="0" applyFont="1" applyBorder="1"/>
    <xf numFmtId="0" fontId="37" fillId="0" borderId="32" xfId="0" applyFont="1" applyBorder="1"/>
    <xf numFmtId="1" fontId="36" fillId="0" borderId="57" xfId="0" applyNumberFormat="1" applyFont="1" applyBorder="1" applyAlignment="1">
      <alignment horizontal="center" vertical="center" wrapText="1"/>
    </xf>
    <xf numFmtId="0" fontId="37" fillId="0" borderId="86" xfId="0" applyFont="1" applyBorder="1"/>
    <xf numFmtId="0" fontId="37" fillId="0" borderId="56" xfId="0" applyFont="1" applyBorder="1"/>
    <xf numFmtId="9" fontId="36" fillId="0" borderId="45" xfId="0" applyNumberFormat="1" applyFont="1" applyBorder="1" applyAlignment="1">
      <alignment horizontal="center" vertical="center" wrapText="1"/>
    </xf>
    <xf numFmtId="1" fontId="36" fillId="0" borderId="43" xfId="0" applyNumberFormat="1" applyFont="1" applyBorder="1" applyAlignment="1">
      <alignment horizontal="center" vertical="center" wrapText="1"/>
    </xf>
    <xf numFmtId="1" fontId="36" fillId="0" borderId="44" xfId="1" applyNumberFormat="1" applyFont="1" applyBorder="1" applyAlignment="1">
      <alignment horizontal="center" vertical="center" wrapText="1"/>
    </xf>
    <xf numFmtId="10" fontId="36" fillId="0" borderId="45" xfId="0" applyNumberFormat="1" applyFont="1" applyBorder="1" applyAlignment="1">
      <alignment vertical="center" wrapText="1"/>
    </xf>
    <xf numFmtId="10" fontId="36" fillId="3" borderId="42" xfId="1" applyNumberFormat="1" applyFont="1" applyFill="1" applyBorder="1" applyAlignment="1">
      <alignment horizontal="center" vertical="center" wrapText="1"/>
    </xf>
    <xf numFmtId="10" fontId="36" fillId="0" borderId="43" xfId="0" applyNumberFormat="1" applyFont="1" applyBorder="1" applyAlignment="1">
      <alignment horizontal="center" vertical="center" wrapText="1"/>
    </xf>
    <xf numFmtId="10" fontId="36" fillId="0" borderId="18" xfId="0" applyNumberFormat="1" applyFont="1" applyBorder="1" applyAlignment="1" applyProtection="1">
      <alignment horizontal="center" vertical="center" wrapText="1"/>
      <protection locked="0"/>
    </xf>
    <xf numFmtId="0" fontId="36" fillId="0" borderId="46" xfId="0" applyFont="1" applyBorder="1" applyAlignment="1" applyProtection="1">
      <alignment vertical="center" wrapText="1"/>
      <protection locked="0"/>
    </xf>
    <xf numFmtId="0" fontId="36" fillId="0" borderId="44" xfId="0" applyFont="1" applyBorder="1" applyAlignment="1" applyProtection="1">
      <alignment vertical="center" wrapText="1"/>
      <protection locked="0"/>
    </xf>
    <xf numFmtId="0" fontId="36" fillId="0" borderId="45" xfId="0" applyFont="1" applyBorder="1" applyAlignment="1" applyProtection="1">
      <alignment horizontal="justify" vertical="center" wrapText="1"/>
      <protection locked="0"/>
    </xf>
    <xf numFmtId="0" fontId="36" fillId="0" borderId="43" xfId="0" applyFont="1" applyBorder="1" applyAlignment="1" applyProtection="1">
      <alignment vertical="center" wrapText="1"/>
      <protection locked="0"/>
    </xf>
    <xf numFmtId="0" fontId="36" fillId="0" borderId="45" xfId="0" applyFont="1" applyBorder="1" applyAlignment="1" applyProtection="1">
      <alignment vertical="center" wrapText="1"/>
      <protection locked="0"/>
    </xf>
    <xf numFmtId="0" fontId="37" fillId="0" borderId="46" xfId="0" applyFont="1" applyBorder="1"/>
    <xf numFmtId="0" fontId="37" fillId="0" borderId="45" xfId="0" applyFont="1" applyBorder="1"/>
    <xf numFmtId="9" fontId="37" fillId="0" borderId="0" xfId="0" applyNumberFormat="1" applyFont="1"/>
    <xf numFmtId="3" fontId="36" fillId="0" borderId="59" xfId="0" applyNumberFormat="1" applyFont="1" applyBorder="1" applyAlignment="1">
      <alignment vertical="center" wrapText="1"/>
    </xf>
    <xf numFmtId="0" fontId="36" fillId="10" borderId="31" xfId="0" applyFont="1" applyFill="1" applyBorder="1" applyAlignment="1">
      <alignment horizontal="center" vertical="center" wrapText="1"/>
    </xf>
    <xf numFmtId="3" fontId="36" fillId="0" borderId="30" xfId="0" applyNumberFormat="1" applyFont="1" applyBorder="1" applyAlignment="1">
      <alignment vertical="center" wrapText="1"/>
    </xf>
    <xf numFmtId="0" fontId="36" fillId="0" borderId="31" xfId="0" applyFont="1" applyBorder="1" applyAlignment="1">
      <alignment vertical="center" wrapText="1"/>
    </xf>
    <xf numFmtId="3" fontId="36" fillId="0" borderId="43" xfId="0" applyNumberFormat="1" applyFont="1" applyBorder="1" applyAlignment="1">
      <alignment vertical="center" wrapText="1"/>
    </xf>
    <xf numFmtId="0" fontId="0" fillId="0" borderId="0" xfId="0" applyAlignment="1">
      <alignment horizontal="center"/>
    </xf>
    <xf numFmtId="0" fontId="0" fillId="0" borderId="0" xfId="0" applyAlignment="1">
      <alignment vertical="center"/>
    </xf>
    <xf numFmtId="10" fontId="16" fillId="3" borderId="75" xfId="1" applyNumberFormat="1" applyFont="1" applyFill="1" applyBorder="1" applyAlignment="1">
      <alignment horizontal="center" vertical="center" wrapText="1"/>
    </xf>
    <xf numFmtId="10" fontId="16" fillId="3" borderId="91" xfId="1" applyNumberFormat="1" applyFont="1" applyFill="1" applyBorder="1" applyAlignment="1">
      <alignment horizontal="center" vertical="center" wrapText="1"/>
    </xf>
    <xf numFmtId="10" fontId="16" fillId="3" borderId="93" xfId="1" applyNumberFormat="1" applyFont="1" applyFill="1" applyBorder="1" applyAlignment="1">
      <alignment horizontal="center" vertical="center" wrapText="1"/>
    </xf>
    <xf numFmtId="10" fontId="16" fillId="0" borderId="43" xfId="0" applyNumberFormat="1" applyFont="1" applyBorder="1" applyAlignment="1">
      <alignment horizontal="center" vertical="center" wrapText="1"/>
    </xf>
    <xf numFmtId="10" fontId="16" fillId="0" borderId="44" xfId="0" applyNumberFormat="1" applyFont="1" applyBorder="1" applyAlignment="1">
      <alignment horizontal="center" vertical="center" wrapText="1"/>
    </xf>
    <xf numFmtId="10" fontId="16" fillId="0" borderId="18" xfId="0" applyNumberFormat="1" applyFont="1" applyBorder="1" applyAlignment="1" applyProtection="1">
      <alignment horizontal="center" vertical="center" wrapText="1"/>
      <protection locked="0"/>
    </xf>
    <xf numFmtId="0" fontId="22" fillId="0" borderId="57" xfId="0" applyFont="1" applyBorder="1" applyAlignment="1">
      <alignment horizontal="center" vertical="center" wrapText="1"/>
    </xf>
    <xf numFmtId="3" fontId="16" fillId="0" borderId="31" xfId="0" applyNumberFormat="1" applyFont="1" applyBorder="1" applyAlignment="1">
      <alignment horizontal="center" vertical="center" wrapText="1"/>
    </xf>
    <xf numFmtId="3" fontId="16" fillId="0" borderId="59" xfId="0" applyNumberFormat="1" applyFont="1" applyBorder="1" applyAlignment="1">
      <alignment horizontal="center" vertical="center" wrapText="1"/>
    </xf>
    <xf numFmtId="3" fontId="16" fillId="0" borderId="30" xfId="0" applyNumberFormat="1" applyFont="1" applyBorder="1" applyAlignment="1">
      <alignment horizontal="center" vertical="center" wrapText="1"/>
    </xf>
    <xf numFmtId="0" fontId="36" fillId="0" borderId="52" xfId="0" applyFont="1" applyBorder="1" applyAlignment="1">
      <alignment horizontal="center" vertical="center" wrapText="1"/>
    </xf>
    <xf numFmtId="9" fontId="36" fillId="0" borderId="87" xfId="0" applyNumberFormat="1" applyFont="1" applyBorder="1" applyAlignment="1">
      <alignment horizontal="center" vertical="center" wrapText="1"/>
    </xf>
    <xf numFmtId="9" fontId="36" fillId="0" borderId="79" xfId="0" applyNumberFormat="1" applyFont="1" applyBorder="1" applyAlignment="1">
      <alignment horizontal="center" vertical="center" wrapText="1"/>
    </xf>
    <xf numFmtId="10" fontId="36" fillId="0" borderId="74" xfId="0" applyNumberFormat="1" applyFont="1" applyBorder="1" applyAlignment="1">
      <alignment vertical="center" wrapText="1"/>
    </xf>
    <xf numFmtId="10" fontId="36" fillId="0" borderId="10" xfId="0" applyNumberFormat="1" applyFont="1" applyBorder="1" applyAlignment="1">
      <alignment vertical="center" wrapText="1"/>
    </xf>
    <xf numFmtId="10" fontId="36" fillId="0" borderId="87" xfId="0" applyNumberFormat="1" applyFont="1" applyBorder="1" applyAlignment="1">
      <alignment vertical="center" wrapText="1"/>
    </xf>
    <xf numFmtId="10" fontId="36" fillId="0" borderId="37" xfId="0" applyNumberFormat="1" applyFont="1" applyBorder="1" applyAlignment="1">
      <alignment vertical="center" wrapText="1"/>
    </xf>
    <xf numFmtId="10" fontId="36" fillId="0" borderId="79" xfId="0" applyNumberFormat="1" applyFont="1" applyBorder="1" applyAlignment="1">
      <alignment vertical="center" wrapText="1"/>
    </xf>
    <xf numFmtId="10" fontId="36" fillId="0" borderId="18" xfId="0" applyNumberFormat="1" applyFont="1" applyBorder="1" applyAlignment="1">
      <alignment vertical="center" wrapText="1"/>
    </xf>
    <xf numFmtId="9" fontId="0" fillId="0" borderId="72" xfId="0" applyNumberFormat="1" applyBorder="1" applyAlignment="1">
      <alignment horizontal="center" vertical="center"/>
    </xf>
    <xf numFmtId="169" fontId="30" fillId="0" borderId="68" xfId="0" applyNumberFormat="1" applyFont="1" applyBorder="1" applyAlignment="1">
      <alignment horizontal="center" vertical="center" wrapText="1"/>
    </xf>
    <xf numFmtId="9" fontId="36" fillId="0" borderId="34" xfId="0" applyNumberFormat="1" applyFont="1" applyBorder="1" applyAlignment="1">
      <alignment horizontal="center" vertical="center" wrapText="1"/>
    </xf>
    <xf numFmtId="169" fontId="36" fillId="0" borderId="44" xfId="0" applyNumberFormat="1" applyFont="1" applyBorder="1" applyAlignment="1">
      <alignment horizontal="center" vertical="center" wrapText="1"/>
    </xf>
    <xf numFmtId="3" fontId="36" fillId="0" borderId="44" xfId="0" applyNumberFormat="1" applyFont="1" applyBorder="1" applyAlignment="1">
      <alignment horizontal="center" vertical="center" wrapText="1"/>
    </xf>
    <xf numFmtId="1" fontId="36" fillId="0" borderId="33" xfId="0" applyNumberFormat="1" applyFont="1" applyBorder="1" applyAlignment="1">
      <alignment horizontal="center" vertical="center" wrapText="1"/>
    </xf>
    <xf numFmtId="0" fontId="36" fillId="0" borderId="34" xfId="1" applyNumberFormat="1" applyFont="1" applyBorder="1" applyAlignment="1">
      <alignment horizontal="center" vertical="center" wrapText="1"/>
    </xf>
    <xf numFmtId="3" fontId="36" fillId="0" borderId="34" xfId="0" applyNumberFormat="1" applyFont="1" applyBorder="1" applyAlignment="1">
      <alignment horizontal="center" vertical="center" wrapText="1"/>
    </xf>
    <xf numFmtId="9" fontId="36" fillId="0" borderId="35" xfId="0" applyNumberFormat="1" applyFont="1" applyBorder="1" applyAlignment="1">
      <alignment horizontal="center" vertical="center" wrapText="1"/>
    </xf>
    <xf numFmtId="0" fontId="36" fillId="0" borderId="44" xfId="1" applyNumberFormat="1" applyFont="1" applyBorder="1" applyAlignment="1">
      <alignment horizontal="center" vertical="center" wrapText="1"/>
    </xf>
    <xf numFmtId="9" fontId="36" fillId="0" borderId="43" xfId="0" applyNumberFormat="1" applyFont="1" applyFill="1" applyBorder="1" applyAlignment="1">
      <alignment horizontal="center" vertical="center" wrapText="1"/>
    </xf>
    <xf numFmtId="1" fontId="36" fillId="0" borderId="59" xfId="0" applyNumberFormat="1" applyFont="1" applyFill="1" applyBorder="1" applyAlignment="1">
      <alignment horizontal="center" vertical="center" wrapText="1"/>
    </xf>
    <xf numFmtId="10" fontId="36" fillId="0" borderId="33" xfId="0" applyNumberFormat="1" applyFont="1" applyBorder="1" applyAlignment="1">
      <alignment horizontal="center" vertical="center" wrapText="1"/>
    </xf>
    <xf numFmtId="10" fontId="36" fillId="0" borderId="55" xfId="0" applyNumberFormat="1" applyFont="1" applyBorder="1" applyAlignment="1">
      <alignment vertical="center" wrapText="1"/>
    </xf>
    <xf numFmtId="0" fontId="36" fillId="0" borderId="33" xfId="0" applyFont="1" applyFill="1" applyBorder="1" applyAlignment="1">
      <alignment horizontal="center" vertical="center" wrapText="1"/>
    </xf>
    <xf numFmtId="10" fontId="36" fillId="3" borderId="75" xfId="1" applyNumberFormat="1" applyFont="1" applyFill="1" applyBorder="1" applyAlignment="1">
      <alignment horizontal="center" vertical="center" wrapText="1"/>
    </xf>
    <xf numFmtId="10" fontId="36" fillId="3" borderId="91" xfId="1" applyNumberFormat="1" applyFont="1" applyFill="1" applyBorder="1" applyAlignment="1">
      <alignment horizontal="center" vertical="center" wrapText="1"/>
    </xf>
    <xf numFmtId="10" fontId="36" fillId="3" borderId="93" xfId="1" applyNumberFormat="1" applyFont="1" applyFill="1" applyBorder="1" applyAlignment="1">
      <alignment horizontal="center" vertical="center" wrapText="1"/>
    </xf>
    <xf numFmtId="0" fontId="36" fillId="0" borderId="77" xfId="0" applyFont="1" applyBorder="1" applyAlignment="1">
      <alignment horizontal="center" vertical="center" wrapText="1"/>
    </xf>
    <xf numFmtId="0" fontId="36" fillId="0" borderId="17" xfId="0" applyFont="1" applyBorder="1" applyAlignment="1">
      <alignment horizontal="center" vertical="center" wrapText="1"/>
    </xf>
    <xf numFmtId="0" fontId="0" fillId="0" borderId="0" xfId="0" applyAlignment="1">
      <alignment vertical="center" wrapText="1"/>
    </xf>
    <xf numFmtId="9" fontId="36" fillId="0" borderId="37" xfId="0" applyNumberFormat="1" applyFont="1" applyBorder="1" applyAlignment="1">
      <alignment horizontal="center" vertical="center" wrapText="1"/>
    </xf>
    <xf numFmtId="10" fontId="36" fillId="0" borderId="74" xfId="0" applyNumberFormat="1" applyFont="1" applyBorder="1" applyAlignment="1">
      <alignment horizontal="center" vertical="center" wrapText="1"/>
    </xf>
    <xf numFmtId="10" fontId="36" fillId="0" borderId="10" xfId="0" applyNumberFormat="1" applyFont="1" applyBorder="1" applyAlignment="1">
      <alignment horizontal="center" vertical="center" wrapText="1"/>
    </xf>
    <xf numFmtId="10" fontId="36" fillId="0" borderId="87" xfId="0" applyNumberFormat="1" applyFont="1" applyBorder="1" applyAlignment="1">
      <alignment horizontal="center" vertical="center" wrapText="1"/>
    </xf>
    <xf numFmtId="0" fontId="0" fillId="0" borderId="70" xfId="0" applyBorder="1" applyAlignment="1">
      <alignment vertical="center" wrapText="1"/>
    </xf>
    <xf numFmtId="9" fontId="30" fillId="0" borderId="87" xfId="0" applyNumberFormat="1" applyFont="1" applyBorder="1" applyAlignment="1">
      <alignment horizontal="center" vertical="center" wrapText="1"/>
    </xf>
    <xf numFmtId="170" fontId="0" fillId="0" borderId="0" xfId="0" applyNumberFormat="1" applyAlignment="1">
      <alignment horizontal="center"/>
    </xf>
    <xf numFmtId="170" fontId="36" fillId="0" borderId="63" xfId="0" applyNumberFormat="1" applyFont="1" applyBorder="1" applyAlignment="1">
      <alignment horizontal="center" vertical="center" wrapText="1"/>
    </xf>
    <xf numFmtId="170" fontId="0" fillId="0" borderId="72" xfId="0" applyNumberFormat="1" applyBorder="1" applyAlignment="1">
      <alignment vertical="center"/>
    </xf>
    <xf numFmtId="10" fontId="0" fillId="0" borderId="72" xfId="0" applyNumberFormat="1" applyBorder="1" applyAlignment="1">
      <alignment vertical="center"/>
    </xf>
    <xf numFmtId="0" fontId="41" fillId="0" borderId="30" xfId="0" applyFont="1" applyBorder="1" applyAlignment="1">
      <alignment vertical="center"/>
    </xf>
    <xf numFmtId="0" fontId="41" fillId="0" borderId="59" xfId="0" applyFont="1" applyBorder="1" applyAlignment="1">
      <alignment vertical="center"/>
    </xf>
    <xf numFmtId="0" fontId="40" fillId="0" borderId="7" xfId="0" applyFont="1" applyBorder="1" applyAlignment="1">
      <alignment horizontal="center" vertical="center" wrapText="1"/>
    </xf>
    <xf numFmtId="0" fontId="0" fillId="0" borderId="0" xfId="0" applyBorder="1"/>
    <xf numFmtId="0" fontId="0" fillId="0" borderId="16" xfId="0" applyBorder="1"/>
    <xf numFmtId="9" fontId="30" fillId="0" borderId="31" xfId="1" applyFont="1" applyBorder="1" applyAlignment="1">
      <alignment horizontal="center" vertical="center" wrapText="1"/>
    </xf>
    <xf numFmtId="0" fontId="36" fillId="0" borderId="55" xfId="0" applyFont="1" applyBorder="1" applyAlignment="1">
      <alignment horizontal="center" vertical="center" wrapText="1"/>
    </xf>
    <xf numFmtId="9" fontId="36" fillId="0" borderId="55" xfId="0" applyNumberFormat="1" applyFont="1" applyBorder="1" applyAlignment="1">
      <alignment horizontal="center" vertical="center" wrapText="1"/>
    </xf>
    <xf numFmtId="0" fontId="30" fillId="0" borderId="34" xfId="0" applyFont="1" applyBorder="1" applyAlignment="1">
      <alignment horizontal="center" vertical="center" wrapText="1"/>
    </xf>
    <xf numFmtId="0" fontId="30" fillId="0" borderId="33" xfId="0" applyFont="1" applyBorder="1" applyAlignment="1">
      <alignment horizontal="center" vertical="center" wrapText="1"/>
    </xf>
    <xf numFmtId="0" fontId="36" fillId="0" borderId="59" xfId="0" applyFont="1" applyBorder="1" applyAlignment="1">
      <alignment horizontal="center" vertical="center" wrapText="1"/>
    </xf>
    <xf numFmtId="1" fontId="36" fillId="0" borderId="69" xfId="0" applyNumberFormat="1" applyFont="1" applyBorder="1" applyAlignment="1">
      <alignment horizontal="center" vertical="center" wrapText="1"/>
    </xf>
    <xf numFmtId="9" fontId="36" fillId="0" borderId="69" xfId="1" applyFont="1" applyBorder="1" applyAlignment="1">
      <alignment horizontal="center" vertical="center" wrapText="1"/>
    </xf>
    <xf numFmtId="9" fontId="36" fillId="0" borderId="49" xfId="1" applyFont="1" applyBorder="1" applyAlignment="1">
      <alignment horizontal="center" vertical="center" wrapText="1"/>
    </xf>
    <xf numFmtId="0" fontId="36" fillId="0" borderId="30" xfId="0" applyFont="1" applyBorder="1" applyAlignment="1">
      <alignment horizontal="center" vertical="center" wrapText="1"/>
    </xf>
    <xf numFmtId="9" fontId="36" fillId="0" borderId="31" xfId="1" applyFont="1" applyBorder="1" applyAlignment="1">
      <alignment horizontal="center" vertical="center" wrapText="1"/>
    </xf>
    <xf numFmtId="9" fontId="36" fillId="0" borderId="69" xfId="0" applyNumberFormat="1" applyFont="1" applyBorder="1" applyAlignment="1">
      <alignment horizontal="center" vertical="center" wrapText="1"/>
    </xf>
    <xf numFmtId="9" fontId="36" fillId="0" borderId="31" xfId="0" applyNumberFormat="1" applyFont="1" applyBorder="1" applyAlignment="1">
      <alignment horizontal="center" vertical="center" wrapText="1"/>
    </xf>
    <xf numFmtId="9" fontId="36" fillId="0" borderId="49" xfId="0" applyNumberFormat="1" applyFont="1" applyBorder="1" applyAlignment="1">
      <alignment horizontal="center" vertical="center" wrapText="1"/>
    </xf>
    <xf numFmtId="1" fontId="36" fillId="0" borderId="34" xfId="0" applyNumberFormat="1" applyFont="1" applyBorder="1" applyAlignment="1">
      <alignment horizontal="center" vertical="center" wrapText="1"/>
    </xf>
    <xf numFmtId="9" fontId="36" fillId="0" borderId="34" xfId="1" applyFont="1" applyBorder="1" applyAlignment="1">
      <alignment horizontal="center" vertical="center" wrapText="1"/>
    </xf>
    <xf numFmtId="9" fontId="36" fillId="0" borderId="44" xfId="0" applyNumberFormat="1" applyFont="1" applyBorder="1" applyAlignment="1">
      <alignment horizontal="center" vertical="center" wrapText="1"/>
    </xf>
    <xf numFmtId="1" fontId="36" fillId="0" borderId="44" xfId="0" applyNumberFormat="1" applyFont="1" applyBorder="1" applyAlignment="1">
      <alignment horizontal="center" vertical="center" wrapText="1"/>
    </xf>
    <xf numFmtId="9" fontId="36" fillId="0" borderId="44" xfId="1" applyFont="1" applyBorder="1" applyAlignment="1">
      <alignment horizontal="center" vertical="center" wrapText="1"/>
    </xf>
    <xf numFmtId="0" fontId="36" fillId="0" borderId="55" xfId="0" applyFont="1" applyBorder="1" applyAlignment="1">
      <alignment horizontal="center" vertical="center" wrapText="1"/>
    </xf>
    <xf numFmtId="0" fontId="36" fillId="0" borderId="34" xfId="0" applyFont="1" applyBorder="1" applyAlignment="1">
      <alignment horizontal="center" vertical="center" wrapText="1"/>
    </xf>
    <xf numFmtId="1" fontId="36" fillId="0" borderId="55" xfId="0" applyNumberFormat="1" applyFont="1" applyBorder="1" applyAlignment="1">
      <alignment horizontal="center" vertical="center" wrapText="1"/>
    </xf>
    <xf numFmtId="1" fontId="27" fillId="0" borderId="69"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0" fontId="27" fillId="0" borderId="30" xfId="0" applyFont="1" applyBorder="1" applyAlignment="1">
      <alignment horizontal="center" vertical="center" wrapText="1"/>
    </xf>
    <xf numFmtId="0" fontId="27" fillId="0" borderId="57" xfId="0" applyFont="1" applyBorder="1" applyAlignment="1">
      <alignment horizontal="center" vertical="center" wrapText="1"/>
    </xf>
    <xf numFmtId="1" fontId="27" fillId="0" borderId="44"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9" fontId="27" fillId="0" borderId="31" xfId="1" applyFont="1" applyBorder="1" applyAlignment="1">
      <alignment horizontal="center" vertical="center" wrapText="1"/>
    </xf>
    <xf numFmtId="9" fontId="27" fillId="0" borderId="44" xfId="1" applyFont="1" applyBorder="1" applyAlignment="1">
      <alignment horizontal="center" vertical="center" wrapText="1"/>
    </xf>
    <xf numFmtId="0" fontId="27" fillId="0" borderId="43"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31" xfId="0" applyFont="1" applyBorder="1" applyAlignment="1" applyProtection="1">
      <alignment horizontal="center" vertical="center" wrapText="1"/>
      <protection locked="0"/>
    </xf>
    <xf numFmtId="0" fontId="27" fillId="0" borderId="49" xfId="0" applyFont="1" applyBorder="1" applyAlignment="1" applyProtection="1">
      <alignment horizontal="center" vertical="center" wrapText="1"/>
      <protection locked="0"/>
    </xf>
    <xf numFmtId="0" fontId="27" fillId="0" borderId="59" xfId="0" applyFont="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7" fillId="0" borderId="43" xfId="0" applyFont="1" applyBorder="1" applyAlignment="1" applyProtection="1">
      <alignment horizontal="center" vertical="center" wrapText="1"/>
      <protection locked="0"/>
    </xf>
    <xf numFmtId="164" fontId="30" fillId="0" borderId="33" xfId="38" applyFont="1" applyBorder="1" applyAlignment="1" applyProtection="1">
      <alignment horizontal="center" vertical="center" wrapText="1"/>
      <protection locked="0"/>
    </xf>
    <xf numFmtId="10" fontId="36" fillId="3" borderId="73" xfId="1" applyNumberFormat="1" applyFont="1" applyFill="1" applyBorder="1" applyAlignment="1">
      <alignment horizontal="center" vertical="center" wrapText="1"/>
    </xf>
    <xf numFmtId="10" fontId="36" fillId="3" borderId="12" xfId="1" applyNumberFormat="1" applyFont="1" applyFill="1" applyBorder="1" applyAlignment="1">
      <alignment horizontal="center" vertical="center" wrapText="1"/>
    </xf>
    <xf numFmtId="10" fontId="36" fillId="3" borderId="58" xfId="1" applyNumberFormat="1" applyFont="1" applyFill="1" applyBorder="1" applyAlignment="1">
      <alignment horizontal="center" vertical="center" wrapText="1"/>
    </xf>
    <xf numFmtId="9" fontId="36" fillId="0" borderId="65" xfId="1" applyFont="1" applyBorder="1" applyAlignment="1">
      <alignment horizontal="center" vertical="center" wrapText="1"/>
    </xf>
    <xf numFmtId="9" fontId="36" fillId="0" borderId="55" xfId="1" applyFont="1" applyBorder="1" applyAlignment="1">
      <alignment horizontal="center" vertical="center" wrapText="1"/>
    </xf>
    <xf numFmtId="10" fontId="36" fillId="0" borderId="41" xfId="0" applyNumberFormat="1" applyFont="1" applyBorder="1" applyAlignment="1">
      <alignment vertical="center" wrapText="1"/>
    </xf>
    <xf numFmtId="0" fontId="36" fillId="0" borderId="59"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30" xfId="0" applyFont="1" applyBorder="1" applyAlignment="1">
      <alignment horizontal="center" vertical="center" wrapText="1"/>
    </xf>
    <xf numFmtId="1" fontId="36" fillId="0" borderId="69" xfId="0" applyNumberFormat="1" applyFont="1" applyBorder="1" applyAlignment="1">
      <alignment horizontal="center" vertical="center" wrapText="1"/>
    </xf>
    <xf numFmtId="9" fontId="36" fillId="0" borderId="69" xfId="1" applyFont="1" applyBorder="1" applyAlignment="1">
      <alignment horizontal="center" vertical="center" wrapText="1"/>
    </xf>
    <xf numFmtId="9" fontId="36" fillId="0" borderId="49" xfId="1" applyFont="1" applyBorder="1" applyAlignment="1">
      <alignment horizontal="center" vertical="center" wrapText="1"/>
    </xf>
    <xf numFmtId="9" fontId="36" fillId="0" borderId="44" xfId="1" applyFont="1" applyBorder="1" applyAlignment="1">
      <alignment horizontal="center" vertical="center" wrapText="1"/>
    </xf>
    <xf numFmtId="9" fontId="36" fillId="0" borderId="31" xfId="1" applyFont="1" applyBorder="1" applyAlignment="1">
      <alignment horizontal="center" vertical="center" wrapText="1"/>
    </xf>
    <xf numFmtId="0" fontId="36" fillId="0" borderId="85"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77" xfId="0"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wrapText="1"/>
      <protection locked="0"/>
    </xf>
    <xf numFmtId="0" fontId="36" fillId="0" borderId="32" xfId="0" applyFont="1" applyBorder="1" applyAlignment="1" applyProtection="1">
      <alignment horizontal="center" vertical="center" wrapText="1"/>
      <protection locked="0"/>
    </xf>
    <xf numFmtId="0" fontId="36" fillId="0" borderId="60" xfId="0" applyFont="1" applyBorder="1" applyAlignment="1" applyProtection="1">
      <alignment horizontal="center" vertical="center" wrapText="1"/>
      <protection locked="0"/>
    </xf>
    <xf numFmtId="170" fontId="0" fillId="0" borderId="80" xfId="0" applyNumberFormat="1" applyBorder="1" applyAlignment="1">
      <alignment horizontal="center"/>
    </xf>
    <xf numFmtId="170" fontId="0" fillId="0" borderId="81" xfId="0" applyNumberFormat="1" applyBorder="1" applyAlignment="1">
      <alignment horizontal="center"/>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0" fontId="27" fillId="0" borderId="31" xfId="0" applyFont="1" applyBorder="1" applyAlignment="1">
      <alignment horizontal="center" vertical="center" wrapText="1"/>
    </xf>
    <xf numFmtId="0" fontId="27" fillId="0" borderId="69"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71" xfId="0" applyFont="1" applyBorder="1" applyAlignment="1">
      <alignment horizontal="center" vertical="center" wrapText="1"/>
    </xf>
    <xf numFmtId="9" fontId="16" fillId="0" borderId="77" xfId="1" applyFont="1" applyBorder="1" applyAlignment="1">
      <alignment horizontal="center" vertical="center" wrapText="1"/>
    </xf>
    <xf numFmtId="9" fontId="16" fillId="0" borderId="14" xfId="1" applyFont="1" applyBorder="1" applyAlignment="1">
      <alignment horizontal="center" vertical="center" wrapText="1"/>
    </xf>
    <xf numFmtId="9" fontId="16" fillId="0" borderId="46" xfId="1" applyFont="1" applyBorder="1" applyAlignment="1">
      <alignment horizontal="center" vertical="center" wrapText="1"/>
    </xf>
    <xf numFmtId="9" fontId="16" fillId="0" borderId="69" xfId="1" applyFont="1" applyBorder="1" applyAlignment="1">
      <alignment horizontal="center" vertical="center" wrapText="1"/>
    </xf>
    <xf numFmtId="1" fontId="27" fillId="0" borderId="47" xfId="0" applyNumberFormat="1" applyFont="1" applyFill="1" applyBorder="1" applyAlignment="1">
      <alignment horizontal="center" vertical="center" wrapText="1"/>
    </xf>
    <xf numFmtId="10" fontId="27" fillId="0" borderId="48" xfId="0" applyNumberFormat="1" applyFont="1" applyBorder="1" applyAlignment="1">
      <alignment vertical="center" wrapText="1"/>
    </xf>
    <xf numFmtId="1" fontId="27" fillId="0" borderId="31" xfId="0" applyNumberFormat="1" applyFont="1" applyFill="1" applyBorder="1" applyAlignment="1">
      <alignment horizontal="center" vertical="center" wrapText="1"/>
    </xf>
    <xf numFmtId="1" fontId="27" fillId="0" borderId="17" xfId="0" applyNumberFormat="1" applyFont="1" applyFill="1" applyBorder="1" applyAlignment="1">
      <alignment horizontal="center" vertical="center" wrapText="1"/>
    </xf>
    <xf numFmtId="1" fontId="27" fillId="0" borderId="47" xfId="1" applyNumberFormat="1" applyFont="1" applyBorder="1" applyAlignment="1">
      <alignment horizontal="center" vertical="center" wrapText="1"/>
    </xf>
    <xf numFmtId="0" fontId="27" fillId="0" borderId="74" xfId="0" applyFont="1" applyBorder="1" applyAlignment="1">
      <alignment vertical="center" wrapText="1"/>
    </xf>
    <xf numFmtId="0" fontId="27" fillId="0" borderId="10" xfId="0" applyFont="1" applyBorder="1" applyAlignment="1">
      <alignment vertical="center" wrapText="1"/>
    </xf>
    <xf numFmtId="0" fontId="27" fillId="0" borderId="87" xfId="0" applyFont="1" applyBorder="1" applyAlignment="1">
      <alignment vertical="center" wrapText="1"/>
    </xf>
    <xf numFmtId="0" fontId="27" fillId="0" borderId="18" xfId="0" applyFont="1" applyBorder="1" applyAlignment="1">
      <alignment vertical="center" wrapText="1"/>
    </xf>
    <xf numFmtId="0" fontId="27" fillId="0" borderId="77" xfId="0" applyFont="1" applyBorder="1" applyAlignment="1" applyProtection="1">
      <alignment horizontal="center" vertical="center" wrapText="1"/>
      <protection locked="0"/>
    </xf>
    <xf numFmtId="0" fontId="27" fillId="0" borderId="41" xfId="0" applyFont="1" applyBorder="1" applyAlignment="1">
      <alignment horizontal="justify" vertical="center" wrapText="1"/>
    </xf>
    <xf numFmtId="1" fontId="27" fillId="0" borderId="44" xfId="0" applyNumberFormat="1" applyFont="1" applyFill="1" applyBorder="1" applyAlignment="1">
      <alignment horizontal="center" vertical="center" wrapText="1"/>
    </xf>
    <xf numFmtId="0" fontId="27" fillId="0" borderId="0" xfId="0" applyFont="1" applyAlignment="1" applyProtection="1">
      <alignment horizontal="center" vertical="center" wrapText="1"/>
      <protection locked="0"/>
    </xf>
    <xf numFmtId="0" fontId="27" fillId="0" borderId="84" xfId="0" applyFont="1" applyBorder="1" applyAlignment="1" applyProtection="1">
      <alignment horizontal="center" vertical="center" wrapText="1"/>
      <protection locked="0"/>
    </xf>
    <xf numFmtId="0" fontId="27" fillId="0" borderId="85" xfId="0" applyFont="1" applyBorder="1" applyAlignment="1" applyProtection="1">
      <alignment horizontal="center" vertical="center" wrapText="1"/>
      <protection locked="0"/>
    </xf>
    <xf numFmtId="0" fontId="27" fillId="0" borderId="57" xfId="0" applyFont="1" applyBorder="1" applyAlignment="1" applyProtection="1">
      <alignment horizontal="center" vertical="center" wrapText="1"/>
      <protection locked="0"/>
    </xf>
    <xf numFmtId="0" fontId="27" fillId="0" borderId="44" xfId="0" applyFont="1" applyBorder="1" applyAlignment="1" applyProtection="1">
      <alignment horizontal="center" vertical="center" wrapText="1"/>
      <protection locked="0"/>
    </xf>
    <xf numFmtId="0" fontId="27" fillId="0" borderId="46" xfId="0" applyFont="1" applyBorder="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27" fillId="0" borderId="3" xfId="0" applyFont="1" applyBorder="1" applyAlignment="1" applyProtection="1">
      <alignment horizontal="center" vertical="center" wrapText="1"/>
      <protection locked="0"/>
    </xf>
    <xf numFmtId="10" fontId="27" fillId="13" borderId="37" xfId="0" applyNumberFormat="1" applyFont="1" applyFill="1" applyBorder="1" applyAlignment="1">
      <alignment vertical="center" wrapText="1"/>
    </xf>
    <xf numFmtId="10" fontId="27" fillId="13" borderId="10" xfId="0" applyNumberFormat="1" applyFont="1" applyFill="1" applyBorder="1" applyAlignment="1">
      <alignment vertical="center" wrapText="1"/>
    </xf>
    <xf numFmtId="170" fontId="36" fillId="0" borderId="43" xfId="1" applyNumberFormat="1" applyFont="1" applyBorder="1" applyAlignment="1">
      <alignment horizontal="center" vertical="center" wrapText="1"/>
    </xf>
    <xf numFmtId="1" fontId="36" fillId="0" borderId="55" xfId="1" applyNumberFormat="1" applyFont="1" applyBorder="1" applyAlignment="1">
      <alignment horizontal="center" vertical="center" wrapText="1"/>
    </xf>
    <xf numFmtId="9" fontId="36" fillId="0" borderId="43" xfId="0" applyNumberFormat="1" applyFont="1" applyBorder="1" applyAlignment="1">
      <alignment horizontal="center" vertical="center" wrapText="1"/>
    </xf>
    <xf numFmtId="9" fontId="36" fillId="0" borderId="33" xfId="1" applyFont="1" applyBorder="1" applyAlignment="1">
      <alignment horizontal="center" vertical="center" wrapText="1"/>
    </xf>
    <xf numFmtId="170" fontId="36" fillId="0" borderId="49" xfId="1" applyNumberFormat="1" applyFont="1" applyBorder="1" applyAlignment="1">
      <alignment horizontal="center" vertical="center" wrapText="1"/>
    </xf>
    <xf numFmtId="0" fontId="36" fillId="0" borderId="65" xfId="0" applyFont="1" applyFill="1" applyBorder="1" applyAlignment="1">
      <alignment horizontal="center" vertical="center" wrapText="1"/>
    </xf>
    <xf numFmtId="1" fontId="36" fillId="0" borderId="55" xfId="0" applyNumberFormat="1" applyFont="1" applyFill="1" applyBorder="1" applyAlignment="1">
      <alignment horizontal="center" vertical="center" wrapText="1"/>
    </xf>
    <xf numFmtId="0" fontId="36" fillId="0" borderId="43" xfId="0" applyFont="1" applyFill="1" applyBorder="1" applyAlignment="1">
      <alignment horizontal="center" vertical="center" wrapText="1"/>
    </xf>
    <xf numFmtId="1" fontId="36" fillId="0" borderId="44" xfId="0" applyNumberFormat="1" applyFont="1" applyFill="1" applyBorder="1" applyAlignment="1">
      <alignment horizontal="center" vertical="center" wrapText="1"/>
    </xf>
    <xf numFmtId="43" fontId="36" fillId="0" borderId="34" xfId="37" applyFont="1" applyFill="1" applyBorder="1" applyAlignment="1">
      <alignment horizontal="center" vertical="center" wrapText="1"/>
    </xf>
    <xf numFmtId="0" fontId="36" fillId="0" borderId="70" xfId="0" applyFont="1" applyFill="1" applyBorder="1" applyAlignment="1">
      <alignment horizontal="center" vertical="center" wrapText="1"/>
    </xf>
    <xf numFmtId="0" fontId="36" fillId="0" borderId="71" xfId="0" applyFont="1" applyBorder="1" applyAlignment="1">
      <alignment horizontal="center" vertical="center" wrapText="1"/>
    </xf>
    <xf numFmtId="10" fontId="36" fillId="0" borderId="71" xfId="0" applyNumberFormat="1" applyFont="1" applyBorder="1" applyAlignment="1">
      <alignment vertical="center" wrapText="1"/>
    </xf>
    <xf numFmtId="1" fontId="36" fillId="0" borderId="71" xfId="0" applyNumberFormat="1" applyFont="1" applyFill="1" applyBorder="1" applyAlignment="1">
      <alignment horizontal="center" vertical="center" wrapText="1"/>
    </xf>
    <xf numFmtId="1" fontId="36" fillId="0" borderId="71" xfId="1" applyNumberFormat="1" applyFont="1" applyBorder="1" applyAlignment="1">
      <alignment horizontal="center" vertical="center" wrapText="1"/>
    </xf>
    <xf numFmtId="10" fontId="36" fillId="0" borderId="72" xfId="0" applyNumberFormat="1" applyFont="1" applyBorder="1" applyAlignment="1">
      <alignment vertical="center" wrapText="1"/>
    </xf>
    <xf numFmtId="9" fontId="36" fillId="0" borderId="30" xfId="0" applyNumberFormat="1" applyFont="1" applyFill="1" applyBorder="1" applyAlignment="1">
      <alignment horizontal="center" vertical="center" wrapText="1"/>
    </xf>
    <xf numFmtId="9" fontId="36" fillId="0" borderId="31" xfId="0" applyNumberFormat="1" applyFont="1" applyFill="1" applyBorder="1" applyAlignment="1">
      <alignment horizontal="center" vertical="center" wrapText="1"/>
    </xf>
    <xf numFmtId="9" fontId="36" fillId="0" borderId="69" xfId="1" applyFont="1" applyBorder="1" applyAlignment="1">
      <alignment horizontal="center" vertical="center" wrapText="1"/>
    </xf>
    <xf numFmtId="9" fontId="36" fillId="0" borderId="31" xfId="1" applyFont="1" applyBorder="1" applyAlignment="1">
      <alignment horizontal="center" vertical="center" wrapText="1"/>
    </xf>
    <xf numFmtId="9" fontId="36" fillId="0" borderId="34" xfId="1" applyFont="1" applyBorder="1" applyAlignment="1">
      <alignment horizontal="center" vertical="center" wrapText="1"/>
    </xf>
    <xf numFmtId="9" fontId="27" fillId="0" borderId="69" xfId="1" applyFont="1" applyBorder="1" applyAlignment="1">
      <alignment horizontal="center" vertical="center" wrapText="1"/>
    </xf>
    <xf numFmtId="2" fontId="36" fillId="0" borderId="37" xfId="0" applyNumberFormat="1" applyFont="1" applyBorder="1" applyAlignment="1">
      <alignment vertical="center" wrapText="1"/>
    </xf>
    <xf numFmtId="2" fontId="36" fillId="0" borderId="10" xfId="0" applyNumberFormat="1" applyFont="1" applyBorder="1" applyAlignment="1">
      <alignment vertical="center" wrapText="1"/>
    </xf>
    <xf numFmtId="0" fontId="36" fillId="0" borderId="10" xfId="0" applyFont="1" applyBorder="1" applyAlignment="1">
      <alignment vertical="center" wrapText="1"/>
    </xf>
    <xf numFmtId="9" fontId="36" fillId="0" borderId="10" xfId="1" applyFont="1" applyBorder="1" applyAlignment="1">
      <alignment vertical="center" wrapText="1"/>
    </xf>
    <xf numFmtId="170" fontId="36" fillId="0" borderId="87" xfId="1" applyNumberFormat="1" applyFont="1" applyBorder="1" applyAlignment="1">
      <alignment vertical="center" wrapText="1"/>
    </xf>
    <xf numFmtId="164" fontId="36" fillId="0" borderId="77" xfId="38" applyFont="1" applyBorder="1" applyAlignment="1" applyProtection="1">
      <alignment horizontal="center" vertical="center" wrapText="1"/>
      <protection locked="0"/>
    </xf>
    <xf numFmtId="164" fontId="36" fillId="0" borderId="14" xfId="38" applyFont="1" applyBorder="1" applyAlignment="1" applyProtection="1">
      <alignment horizontal="center" vertical="center" wrapText="1"/>
      <protection locked="0"/>
    </xf>
    <xf numFmtId="164" fontId="36" fillId="0" borderId="86" xfId="38" applyFont="1" applyBorder="1" applyAlignment="1" applyProtection="1">
      <alignment horizontal="center" vertical="center" wrapText="1"/>
      <protection locked="0"/>
    </xf>
    <xf numFmtId="0" fontId="36" fillId="0" borderId="38" xfId="0" applyFont="1" applyBorder="1" applyAlignment="1" applyProtection="1">
      <alignment horizontal="center" vertical="center" wrapText="1"/>
      <protection locked="0"/>
    </xf>
    <xf numFmtId="0" fontId="36" fillId="0" borderId="41" xfId="0" applyFont="1" applyBorder="1" applyAlignment="1" applyProtection="1">
      <alignment horizontal="center" vertical="center" wrapText="1"/>
      <protection locked="0"/>
    </xf>
    <xf numFmtId="164" fontId="36" fillId="0" borderId="43" xfId="38" applyFont="1" applyBorder="1" applyAlignment="1" applyProtection="1">
      <alignment horizontal="center" vertical="center" wrapText="1"/>
      <protection locked="0"/>
    </xf>
    <xf numFmtId="164" fontId="36" fillId="0" borderId="44" xfId="38" applyFont="1" applyBorder="1" applyAlignment="1" applyProtection="1">
      <alignment horizontal="center" vertical="center" wrapText="1"/>
      <protection locked="0"/>
    </xf>
    <xf numFmtId="170" fontId="36" fillId="0" borderId="45" xfId="1" applyNumberFormat="1" applyFont="1" applyBorder="1" applyAlignment="1" applyProtection="1">
      <alignment horizontal="center" vertical="center" wrapText="1"/>
      <protection locked="0"/>
    </xf>
    <xf numFmtId="0" fontId="36" fillId="0" borderId="74" xfId="0" applyFont="1" applyBorder="1" applyAlignment="1">
      <alignment vertical="center" wrapText="1"/>
    </xf>
    <xf numFmtId="0" fontId="36" fillId="0" borderId="18" xfId="0" applyFont="1" applyBorder="1" applyAlignment="1">
      <alignment vertical="center" wrapText="1"/>
    </xf>
    <xf numFmtId="0" fontId="36" fillId="0" borderId="33" xfId="0" applyFont="1" applyBorder="1" applyAlignment="1" applyProtection="1">
      <alignment horizontal="center" vertical="center" wrapText="1"/>
      <protection locked="0"/>
    </xf>
    <xf numFmtId="0" fontId="36" fillId="0" borderId="34" xfId="0" applyFont="1" applyBorder="1" applyAlignment="1" applyProtection="1">
      <alignment horizontal="center" vertical="center" wrapText="1"/>
      <protection locked="0"/>
    </xf>
    <xf numFmtId="0" fontId="36" fillId="0" borderId="35" xfId="0" applyFont="1" applyBorder="1" applyAlignment="1" applyProtection="1">
      <alignment horizontal="justify" vertical="center" wrapText="1"/>
      <protection locked="0"/>
    </xf>
    <xf numFmtId="0" fontId="36" fillId="0" borderId="43" xfId="0" applyFont="1" applyBorder="1" applyAlignment="1" applyProtection="1">
      <alignment horizontal="center" vertical="center" wrapText="1"/>
      <protection locked="0"/>
    </xf>
    <xf numFmtId="0" fontId="36" fillId="0" borderId="44" xfId="0" applyFont="1" applyBorder="1" applyAlignment="1" applyProtection="1">
      <alignment horizontal="center" vertical="center" wrapText="1"/>
      <protection locked="0"/>
    </xf>
    <xf numFmtId="0" fontId="36" fillId="0" borderId="45" xfId="0" applyFont="1" applyBorder="1" applyAlignment="1" applyProtection="1">
      <alignment horizontal="center" vertical="center" wrapText="1"/>
      <protection locked="0"/>
    </xf>
    <xf numFmtId="0" fontId="36" fillId="0" borderId="35" xfId="0" applyFont="1" applyBorder="1" applyAlignment="1" applyProtection="1">
      <alignment horizontal="center" vertical="center" wrapText="1"/>
      <protection locked="0"/>
    </xf>
    <xf numFmtId="0" fontId="36" fillId="0" borderId="45" xfId="0" applyFont="1" applyBorder="1" applyAlignment="1">
      <alignment horizontal="center" vertical="center" wrapText="1"/>
    </xf>
    <xf numFmtId="164" fontId="36" fillId="0" borderId="38" xfId="38" applyFont="1" applyBorder="1" applyAlignment="1" applyProtection="1">
      <alignment horizontal="center" vertical="center" wrapText="1"/>
      <protection locked="0"/>
    </xf>
    <xf numFmtId="164" fontId="36" fillId="0" borderId="55" xfId="38" applyFont="1" applyBorder="1" applyAlignment="1" applyProtection="1">
      <alignment horizontal="center" vertical="center" wrapText="1"/>
      <protection locked="0"/>
    </xf>
    <xf numFmtId="0" fontId="36" fillId="0" borderId="41" xfId="0" applyFont="1" applyBorder="1" applyAlignment="1">
      <alignment horizontal="justify" vertical="center" wrapText="1"/>
    </xf>
    <xf numFmtId="0" fontId="36" fillId="0" borderId="45" xfId="0" applyFont="1" applyBorder="1" applyAlignment="1">
      <alignment horizontal="justify" vertical="center" wrapText="1"/>
    </xf>
    <xf numFmtId="0" fontId="36" fillId="0" borderId="36" xfId="0" applyFont="1" applyBorder="1" applyAlignment="1" applyProtection="1">
      <alignment vertical="center" wrapText="1"/>
      <protection locked="0"/>
    </xf>
    <xf numFmtId="0" fontId="36" fillId="0" borderId="34" xfId="0" applyFont="1" applyBorder="1" applyAlignment="1" applyProtection="1">
      <alignment vertical="center" wrapText="1"/>
      <protection locked="0"/>
    </xf>
    <xf numFmtId="0" fontId="36" fillId="0" borderId="33" xfId="0" applyFont="1" applyBorder="1" applyAlignment="1" applyProtection="1">
      <alignment vertical="center" wrapText="1"/>
      <protection locked="0"/>
    </xf>
    <xf numFmtId="0" fontId="36" fillId="0" borderId="35" xfId="0" applyFont="1" applyBorder="1" applyAlignment="1" applyProtection="1">
      <alignment vertical="center" wrapText="1"/>
      <protection locked="0"/>
    </xf>
    <xf numFmtId="0" fontId="36" fillId="0" borderId="87" xfId="0" applyFont="1" applyBorder="1" applyAlignment="1">
      <alignment vertical="center" wrapText="1"/>
    </xf>
    <xf numFmtId="0" fontId="36" fillId="0" borderId="60"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7" xfId="0" applyFont="1" applyBorder="1" applyAlignment="1">
      <alignment vertical="center" wrapText="1"/>
    </xf>
    <xf numFmtId="170" fontId="36" fillId="0" borderId="75" xfId="0" applyNumberFormat="1" applyFont="1" applyBorder="1" applyAlignment="1">
      <alignment horizontal="center" vertical="center" wrapText="1"/>
    </xf>
    <xf numFmtId="0" fontId="40" fillId="0" borderId="80" xfId="0" applyFont="1" applyBorder="1" applyAlignment="1">
      <alignment horizontal="center" vertical="center"/>
    </xf>
    <xf numFmtId="9" fontId="42" fillId="0" borderId="31" xfId="0" applyNumberFormat="1" applyFont="1" applyBorder="1" applyAlignment="1">
      <alignment horizontal="center" vertical="center"/>
    </xf>
    <xf numFmtId="10" fontId="42" fillId="0" borderId="31" xfId="0" applyNumberFormat="1" applyFont="1" applyBorder="1" applyAlignment="1">
      <alignment horizontal="center" vertical="center"/>
    </xf>
    <xf numFmtId="9" fontId="42" fillId="0" borderId="69" xfId="0" applyNumberFormat="1" applyFont="1" applyBorder="1" applyAlignment="1">
      <alignment horizontal="center" vertical="center"/>
    </xf>
    <xf numFmtId="2" fontId="36" fillId="0" borderId="33" xfId="37" applyNumberFormat="1" applyFont="1" applyFill="1" applyBorder="1" applyAlignment="1">
      <alignment horizontal="center" vertical="center" wrapText="1"/>
    </xf>
    <xf numFmtId="10" fontId="36" fillId="13" borderId="49" xfId="0" applyNumberFormat="1" applyFont="1" applyFill="1" applyBorder="1" applyAlignment="1">
      <alignment vertical="center" wrapText="1"/>
    </xf>
    <xf numFmtId="9" fontId="27" fillId="0" borderId="71" xfId="1" applyFont="1" applyBorder="1" applyAlignment="1">
      <alignment horizontal="center" vertical="center" wrapText="1"/>
    </xf>
    <xf numFmtId="9" fontId="36" fillId="0" borderId="69" xfId="1" applyFont="1" applyBorder="1" applyAlignment="1">
      <alignment horizontal="center" vertical="center" wrapText="1"/>
    </xf>
    <xf numFmtId="9" fontId="36" fillId="0" borderId="31" xfId="1" applyFont="1" applyBorder="1" applyAlignment="1">
      <alignment horizontal="center" vertical="center" wrapText="1"/>
    </xf>
    <xf numFmtId="9" fontId="36" fillId="0" borderId="44" xfId="1" applyFont="1" applyBorder="1" applyAlignment="1">
      <alignment horizontal="center" vertical="center" wrapText="1"/>
    </xf>
    <xf numFmtId="0" fontId="41" fillId="0" borderId="57" xfId="0" applyFont="1" applyBorder="1" applyAlignment="1">
      <alignment vertical="center"/>
    </xf>
    <xf numFmtId="9" fontId="42" fillId="0" borderId="49" xfId="0" applyNumberFormat="1" applyFont="1" applyBorder="1" applyAlignment="1">
      <alignment horizontal="center" vertical="center"/>
    </xf>
    <xf numFmtId="0" fontId="41" fillId="0" borderId="94" xfId="0" applyFont="1" applyFill="1" applyBorder="1" applyAlignment="1">
      <alignment vertical="center"/>
    </xf>
    <xf numFmtId="9" fontId="42" fillId="0" borderId="70" xfId="0" applyNumberFormat="1" applyFont="1" applyBorder="1" applyAlignment="1">
      <alignment horizontal="center" vertical="center"/>
    </xf>
    <xf numFmtId="9" fontId="42" fillId="0" borderId="72" xfId="0" applyNumberFormat="1" applyFont="1" applyBorder="1" applyAlignment="1">
      <alignment horizontal="center" vertical="center"/>
    </xf>
    <xf numFmtId="9" fontId="42" fillId="0" borderId="60" xfId="0" applyNumberFormat="1" applyFont="1" applyBorder="1" applyAlignment="1">
      <alignment horizontal="center" vertical="center"/>
    </xf>
    <xf numFmtId="9" fontId="42" fillId="0" borderId="32" xfId="0" applyNumberFormat="1" applyFont="1" applyBorder="1" applyAlignment="1">
      <alignment horizontal="center" vertical="center"/>
    </xf>
    <xf numFmtId="10" fontId="42" fillId="0" borderId="32" xfId="0" applyNumberFormat="1" applyFont="1" applyBorder="1" applyAlignment="1">
      <alignment horizontal="center" vertical="center"/>
    </xf>
    <xf numFmtId="9" fontId="42" fillId="0" borderId="56" xfId="0" applyNumberFormat="1" applyFont="1" applyBorder="1" applyAlignment="1">
      <alignment horizontal="center" vertical="center"/>
    </xf>
    <xf numFmtId="9" fontId="30" fillId="0" borderId="31" xfId="1" applyFont="1" applyBorder="1" applyAlignment="1">
      <alignment horizontal="center" vertical="center" wrapText="1"/>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0" fontId="27" fillId="0" borderId="57" xfId="0" applyFont="1" applyBorder="1" applyAlignment="1">
      <alignment horizontal="center" vertical="center" wrapText="1"/>
    </xf>
    <xf numFmtId="9" fontId="27" fillId="0" borderId="44" xfId="1" applyFont="1" applyBorder="1" applyAlignment="1">
      <alignment horizontal="center" vertical="center" wrapText="1"/>
    </xf>
    <xf numFmtId="0" fontId="27" fillId="0" borderId="43"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31" xfId="0" applyFont="1" applyBorder="1" applyAlignment="1" applyProtection="1">
      <alignment horizontal="center" vertical="center" wrapText="1"/>
      <protection locked="0"/>
    </xf>
    <xf numFmtId="0" fontId="27" fillId="0" borderId="49" xfId="0" applyFont="1" applyBorder="1" applyAlignment="1" applyProtection="1">
      <alignment horizontal="center" vertical="center" wrapText="1"/>
      <protection locked="0"/>
    </xf>
    <xf numFmtId="0" fontId="27" fillId="0" borderId="59" xfId="0" applyFont="1" applyBorder="1" applyAlignment="1" applyProtection="1">
      <alignment horizontal="center" vertical="center" wrapText="1"/>
      <protection locked="0"/>
    </xf>
    <xf numFmtId="0" fontId="27" fillId="0" borderId="43" xfId="0" applyFont="1" applyBorder="1" applyAlignment="1" applyProtection="1">
      <alignment horizontal="center" vertical="center" wrapText="1"/>
      <protection locked="0"/>
    </xf>
    <xf numFmtId="1" fontId="27" fillId="0" borderId="31" xfId="0" applyNumberFormat="1" applyFont="1" applyBorder="1" applyAlignment="1" applyProtection="1">
      <alignment horizontal="center" vertical="center" wrapText="1"/>
      <protection locked="0"/>
    </xf>
    <xf numFmtId="1" fontId="27" fillId="0" borderId="69" xfId="0" applyNumberFormat="1" applyFont="1" applyBorder="1" applyAlignment="1" applyProtection="1">
      <alignment horizontal="center" vertical="center" wrapText="1"/>
      <protection locked="0"/>
    </xf>
    <xf numFmtId="1" fontId="27" fillId="0" borderId="44" xfId="0" applyNumberFormat="1" applyFont="1" applyBorder="1" applyAlignment="1" applyProtection="1">
      <alignment horizontal="center" vertical="center" wrapText="1"/>
      <protection locked="0"/>
    </xf>
    <xf numFmtId="10" fontId="27" fillId="0" borderId="36" xfId="0" applyNumberFormat="1" applyFont="1" applyBorder="1" applyAlignment="1">
      <alignment horizontal="center" vertical="center" wrapText="1"/>
    </xf>
    <xf numFmtId="10" fontId="27" fillId="0" borderId="14" xfId="0" applyNumberFormat="1" applyFont="1" applyBorder="1" applyAlignment="1">
      <alignment horizontal="center" vertical="center" wrapText="1"/>
    </xf>
    <xf numFmtId="1" fontId="27" fillId="0" borderId="77" xfId="1" applyNumberFormat="1" applyFont="1" applyBorder="1" applyAlignment="1">
      <alignment horizontal="center" vertical="center" wrapText="1"/>
    </xf>
    <xf numFmtId="1" fontId="27" fillId="0" borderId="14" xfId="1" applyNumberFormat="1" applyFont="1" applyBorder="1" applyAlignment="1">
      <alignment horizontal="center" vertical="center" wrapText="1"/>
    </xf>
    <xf numFmtId="1" fontId="27" fillId="0" borderId="86" xfId="1" applyNumberFormat="1" applyFont="1" applyBorder="1" applyAlignment="1">
      <alignment horizontal="center" vertical="center" wrapText="1"/>
    </xf>
    <xf numFmtId="1" fontId="27" fillId="0" borderId="57" xfId="1" applyNumberFormat="1" applyFont="1" applyBorder="1" applyAlignment="1">
      <alignment horizontal="center" vertical="center" wrapText="1"/>
    </xf>
    <xf numFmtId="10" fontId="27" fillId="0" borderId="3" xfId="0" applyNumberFormat="1" applyFont="1" applyBorder="1" applyAlignment="1">
      <alignment horizontal="center" vertical="center" wrapText="1"/>
    </xf>
    <xf numFmtId="10" fontId="27" fillId="0" borderId="46" xfId="0" applyNumberFormat="1" applyFont="1" applyBorder="1" applyAlignment="1">
      <alignment horizontal="center" vertical="center" wrapText="1"/>
    </xf>
    <xf numFmtId="10" fontId="27" fillId="3" borderId="68" xfId="1" applyNumberFormat="1" applyFont="1" applyFill="1" applyBorder="1" applyAlignment="1">
      <alignment horizontal="center" vertical="center" wrapText="1"/>
    </xf>
    <xf numFmtId="0" fontId="27" fillId="0" borderId="77" xfId="0" applyFont="1" applyBorder="1" applyAlignment="1" applyProtection="1">
      <alignment vertical="center" wrapText="1"/>
      <protection locked="0"/>
    </xf>
    <xf numFmtId="0" fontId="27" fillId="0" borderId="14" xfId="0" applyFont="1" applyBorder="1" applyAlignment="1" applyProtection="1">
      <alignment horizontal="center" vertical="center" wrapText="1"/>
      <protection locked="0"/>
    </xf>
    <xf numFmtId="0" fontId="27" fillId="0" borderId="86" xfId="0" applyFont="1" applyBorder="1" applyAlignment="1" applyProtection="1">
      <alignment horizontal="center" vertical="center" wrapText="1"/>
      <protection locked="0"/>
    </xf>
    <xf numFmtId="9" fontId="27" fillId="0" borderId="14" xfId="1" applyFont="1" applyFill="1" applyBorder="1" applyAlignment="1">
      <alignment horizontal="center" vertical="center" wrapText="1"/>
    </xf>
    <xf numFmtId="0" fontId="27" fillId="0" borderId="74" xfId="0" applyFont="1" applyBorder="1" applyAlignment="1" applyProtection="1">
      <alignment vertical="center" wrapText="1"/>
      <protection locked="0"/>
    </xf>
    <xf numFmtId="0" fontId="27" fillId="0" borderId="18" xfId="0" applyFont="1" applyBorder="1" applyAlignment="1" applyProtection="1">
      <alignment vertical="center" wrapText="1"/>
      <protection locked="0"/>
    </xf>
    <xf numFmtId="9" fontId="30" fillId="0" borderId="69" xfId="1" applyFont="1" applyBorder="1" applyAlignment="1">
      <alignment horizontal="center" vertical="center" wrapText="1"/>
    </xf>
    <xf numFmtId="0" fontId="36" fillId="0" borderId="77"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27" fillId="0" borderId="34"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69"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30" xfId="0" applyFont="1" applyBorder="1" applyAlignment="1">
      <alignment horizontal="center" vertical="center" wrapText="1"/>
    </xf>
    <xf numFmtId="1" fontId="36" fillId="0" borderId="69" xfId="0" applyNumberFormat="1" applyFont="1" applyBorder="1" applyAlignment="1">
      <alignment horizontal="center" vertical="center" wrapText="1"/>
    </xf>
    <xf numFmtId="9" fontId="36" fillId="0" borderId="69" xfId="1" applyFont="1" applyBorder="1" applyAlignment="1">
      <alignment horizontal="center" vertical="center" wrapText="1"/>
    </xf>
    <xf numFmtId="9" fontId="36" fillId="0" borderId="49" xfId="1" applyFont="1" applyBorder="1" applyAlignment="1">
      <alignment horizontal="center" vertical="center" wrapText="1"/>
    </xf>
    <xf numFmtId="9" fontId="36" fillId="0" borderId="44" xfId="1" applyFont="1" applyBorder="1" applyAlignment="1">
      <alignment horizontal="center" vertical="center" wrapText="1"/>
    </xf>
    <xf numFmtId="9" fontId="36" fillId="0" borderId="31" xfId="1" applyFont="1" applyBorder="1" applyAlignment="1">
      <alignment horizontal="center" vertical="center" wrapText="1"/>
    </xf>
    <xf numFmtId="0" fontId="36" fillId="0" borderId="85" xfId="0" applyFont="1" applyBorder="1" applyAlignment="1">
      <alignment horizontal="center" vertical="center" wrapText="1"/>
    </xf>
    <xf numFmtId="0" fontId="36" fillId="0" borderId="34" xfId="0" applyFont="1" applyBorder="1" applyAlignment="1">
      <alignment horizontal="center" vertical="center" wrapText="1"/>
    </xf>
    <xf numFmtId="170" fontId="0" fillId="0" borderId="80" xfId="0" applyNumberFormat="1" applyBorder="1" applyAlignment="1">
      <alignment horizontal="center"/>
    </xf>
    <xf numFmtId="170" fontId="0" fillId="0" borderId="81" xfId="0" applyNumberFormat="1" applyBorder="1" applyAlignment="1">
      <alignment horizontal="center"/>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0" fontId="27" fillId="0" borderId="31"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60" xfId="0" applyFont="1" applyBorder="1" applyAlignment="1">
      <alignment horizontal="center" vertical="center" wrapText="1"/>
    </xf>
    <xf numFmtId="9" fontId="27" fillId="0" borderId="69" xfId="1" applyFont="1" applyBorder="1" applyAlignment="1">
      <alignment horizontal="center" vertical="center" wrapText="1"/>
    </xf>
    <xf numFmtId="10" fontId="27" fillId="3" borderId="100" xfId="1" applyNumberFormat="1" applyFont="1" applyFill="1" applyBorder="1" applyAlignment="1">
      <alignment horizontal="center" vertical="center" wrapText="1"/>
    </xf>
    <xf numFmtId="1" fontId="27" fillId="0" borderId="33" xfId="1" applyNumberFormat="1" applyFont="1" applyBorder="1" applyAlignment="1">
      <alignment horizontal="center" vertical="center" wrapText="1"/>
    </xf>
    <xf numFmtId="3" fontId="27" fillId="0" borderId="30" xfId="1" applyNumberFormat="1" applyFont="1" applyBorder="1" applyAlignment="1">
      <alignment horizontal="center" vertical="center" wrapText="1"/>
    </xf>
    <xf numFmtId="3" fontId="27" fillId="0" borderId="43" xfId="1" applyNumberFormat="1" applyFont="1" applyBorder="1" applyAlignment="1">
      <alignment horizontal="center" vertical="center" wrapText="1"/>
    </xf>
    <xf numFmtId="10" fontId="27" fillId="13" borderId="74" xfId="0" applyNumberFormat="1" applyFont="1" applyFill="1" applyBorder="1" applyAlignment="1">
      <alignment vertical="center" wrapText="1"/>
    </xf>
    <xf numFmtId="10" fontId="27" fillId="13" borderId="18" xfId="0" applyNumberFormat="1" applyFont="1" applyFill="1" applyBorder="1" applyAlignment="1">
      <alignment vertical="center" wrapText="1"/>
    </xf>
    <xf numFmtId="0" fontId="30" fillId="0" borderId="14"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4" fillId="5" borderId="49" xfId="20" applyFont="1" applyFill="1" applyBorder="1" applyAlignment="1">
      <alignment horizontal="center" vertical="center" wrapText="1"/>
    </xf>
    <xf numFmtId="0" fontId="4" fillId="5" borderId="34" xfId="20" applyFont="1" applyFill="1" applyBorder="1" applyAlignment="1">
      <alignment horizontal="center" vertical="center" wrapText="1"/>
    </xf>
    <xf numFmtId="0" fontId="5" fillId="5" borderId="31" xfId="20" applyFont="1" applyFill="1" applyBorder="1" applyAlignment="1">
      <alignment horizontal="center" vertical="center" wrapText="1"/>
    </xf>
    <xf numFmtId="0" fontId="5" fillId="5" borderId="49" xfId="20" applyFont="1" applyFill="1" applyBorder="1" applyAlignment="1">
      <alignment horizontal="center" vertical="center" wrapText="1"/>
    </xf>
    <xf numFmtId="0" fontId="5" fillId="5" borderId="34" xfId="20" applyFont="1" applyFill="1" applyBorder="1" applyAlignment="1">
      <alignment horizontal="center" vertical="center" wrapText="1"/>
    </xf>
    <xf numFmtId="0" fontId="5" fillId="5" borderId="10" xfId="20" applyFont="1" applyFill="1" applyBorder="1" applyAlignment="1">
      <alignment horizontal="center" vertical="center" wrapText="1"/>
    </xf>
    <xf numFmtId="0" fontId="5" fillId="5" borderId="11" xfId="20" applyFont="1" applyFill="1" applyBorder="1" applyAlignment="1">
      <alignment horizontal="center" vertical="center" wrapText="1"/>
    </xf>
    <xf numFmtId="0" fontId="5" fillId="5" borderId="14" xfId="20" applyFont="1" applyFill="1" applyBorder="1" applyAlignment="1">
      <alignment horizontal="center" vertical="center" wrapText="1"/>
    </xf>
    <xf numFmtId="0" fontId="3" fillId="4" borderId="10" xfId="20" applyFont="1" applyFill="1" applyBorder="1" applyAlignment="1">
      <alignment horizontal="center"/>
    </xf>
    <xf numFmtId="0" fontId="3" fillId="4" borderId="11" xfId="20" applyFont="1" applyFill="1" applyBorder="1" applyAlignment="1">
      <alignment horizontal="center"/>
    </xf>
    <xf numFmtId="0" fontId="3" fillId="4" borderId="14" xfId="20" applyFont="1" applyFill="1" applyBorder="1" applyAlignment="1">
      <alignment horizontal="center"/>
    </xf>
    <xf numFmtId="0" fontId="3" fillId="4" borderId="31" xfId="20" applyFont="1" applyFill="1" applyBorder="1" applyAlignment="1">
      <alignment horizontal="center"/>
    </xf>
    <xf numFmtId="0" fontId="4" fillId="0" borderId="0" xfId="20" applyFont="1" applyAlignment="1">
      <alignment horizontal="left" vertical="center"/>
    </xf>
    <xf numFmtId="0" fontId="12" fillId="6" borderId="54" xfId="20" applyFont="1" applyFill="1" applyBorder="1" applyAlignment="1">
      <alignment horizontal="center" vertical="center" wrapText="1"/>
    </xf>
    <xf numFmtId="0" fontId="12" fillId="6" borderId="0" xfId="20" applyFont="1" applyFill="1" applyAlignment="1">
      <alignment horizontal="center" vertical="center" wrapText="1"/>
    </xf>
    <xf numFmtId="0" fontId="12" fillId="7" borderId="31" xfId="20" applyFont="1" applyFill="1" applyBorder="1" applyAlignment="1" applyProtection="1">
      <alignment horizontal="center" vertical="center" wrapText="1"/>
      <protection locked="0"/>
    </xf>
    <xf numFmtId="0" fontId="3" fillId="6" borderId="31" xfId="20" applyFont="1" applyFill="1" applyBorder="1" applyAlignment="1">
      <alignment horizontal="center" vertical="center" wrapText="1"/>
    </xf>
    <xf numFmtId="0" fontId="11" fillId="0" borderId="53" xfId="20" applyFont="1" applyBorder="1" applyAlignment="1">
      <alignment horizontal="center" vertical="center"/>
    </xf>
    <xf numFmtId="0" fontId="12" fillId="6" borderId="54" xfId="20" applyFont="1" applyFill="1" applyBorder="1" applyAlignment="1">
      <alignment horizontal="center" vertical="center"/>
    </xf>
    <xf numFmtId="0" fontId="30" fillId="0" borderId="13" xfId="0" applyFont="1" applyBorder="1" applyAlignment="1" applyProtection="1">
      <alignment horizontal="center" vertical="center" wrapText="1"/>
      <protection locked="0"/>
    </xf>
    <xf numFmtId="0" fontId="30" fillId="0" borderId="61"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92" xfId="0" applyFont="1" applyBorder="1" applyAlignment="1">
      <alignment horizontal="center" vertical="center" wrapText="1"/>
    </xf>
    <xf numFmtId="0" fontId="31" fillId="0" borderId="95" xfId="0" applyFont="1" applyBorder="1" applyAlignment="1">
      <alignment horizontal="center" vertical="center" wrapText="1"/>
    </xf>
    <xf numFmtId="0" fontId="31" fillId="2" borderId="39" xfId="0" applyFont="1" applyFill="1" applyBorder="1" applyAlignment="1">
      <alignment horizontal="center" vertical="center" wrapText="1"/>
    </xf>
    <xf numFmtId="0" fontId="31" fillId="2" borderId="0" xfId="0" applyFont="1" applyFill="1" applyAlignment="1">
      <alignment horizontal="center" vertical="center" wrapText="1"/>
    </xf>
    <xf numFmtId="0" fontId="30" fillId="0" borderId="30" xfId="0" applyFont="1" applyBorder="1" applyAlignment="1">
      <alignment horizontal="center" vertical="center" wrapText="1"/>
    </xf>
    <xf numFmtId="1" fontId="30" fillId="0" borderId="31" xfId="0" applyNumberFormat="1" applyFont="1" applyBorder="1" applyAlignment="1">
      <alignment horizontal="center" vertical="center" wrapText="1"/>
    </xf>
    <xf numFmtId="0" fontId="30" fillId="0" borderId="31" xfId="0" applyFont="1" applyBorder="1" applyAlignment="1">
      <alignment horizontal="center" vertical="center" wrapText="1"/>
    </xf>
    <xf numFmtId="9" fontId="30" fillId="0" borderId="31" xfId="0" applyNumberFormat="1" applyFont="1" applyBorder="1" applyAlignment="1">
      <alignment horizontal="center" vertical="center" wrapText="1"/>
    </xf>
    <xf numFmtId="0" fontId="30" fillId="10" borderId="30" xfId="0" applyFont="1" applyFill="1" applyBorder="1" applyAlignment="1">
      <alignment horizontal="center" vertical="center" wrapText="1"/>
    </xf>
    <xf numFmtId="0" fontId="30" fillId="10" borderId="43" xfId="0" applyFont="1" applyFill="1" applyBorder="1" applyAlignment="1">
      <alignment horizontal="center" vertical="center" wrapText="1"/>
    </xf>
    <xf numFmtId="1" fontId="30" fillId="0" borderId="44" xfId="0" applyNumberFormat="1" applyFont="1" applyBorder="1" applyAlignment="1">
      <alignment horizontal="center" vertical="center" wrapText="1"/>
    </xf>
    <xf numFmtId="9" fontId="30" fillId="0" borderId="44" xfId="0" applyNumberFormat="1" applyFont="1" applyBorder="1" applyAlignment="1">
      <alignment horizontal="center" vertical="center" wrapText="1"/>
    </xf>
    <xf numFmtId="9" fontId="30" fillId="0" borderId="31" xfId="1" applyFont="1" applyBorder="1" applyAlignment="1">
      <alignment horizontal="center" vertical="center" wrapText="1"/>
    </xf>
    <xf numFmtId="0" fontId="31" fillId="0" borderId="75"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73"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8"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6"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59"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57" xfId="0" applyFont="1" applyBorder="1" applyAlignment="1">
      <alignment horizontal="center" vertical="center" textRotation="90" wrapText="1"/>
    </xf>
    <xf numFmtId="0" fontId="31" fillId="0" borderId="60"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91"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72"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62" xfId="0" applyFont="1" applyBorder="1" applyAlignment="1">
      <alignment horizontal="center" vertical="center" wrapText="1"/>
    </xf>
    <xf numFmtId="0" fontId="31" fillId="0" borderId="55"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39" xfId="0" applyFont="1" applyBorder="1" applyAlignment="1">
      <alignment horizontal="center" vertical="center" wrapText="1"/>
    </xf>
    <xf numFmtId="0" fontId="31" fillId="3" borderId="73"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58" xfId="0" applyFont="1" applyFill="1" applyBorder="1" applyAlignment="1">
      <alignment horizontal="center" vertical="center" wrapText="1"/>
    </xf>
    <xf numFmtId="0" fontId="30" fillId="0" borderId="74"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68"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0" xfId="0" applyFont="1" applyAlignment="1">
      <alignment horizontal="center" vertical="center" wrapText="1"/>
    </xf>
    <xf numFmtId="0" fontId="31" fillId="0" borderId="9"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94" xfId="0" applyFont="1" applyBorder="1" applyAlignment="1">
      <alignment horizontal="center" vertical="justify"/>
    </xf>
    <xf numFmtId="0" fontId="30" fillId="0" borderId="92" xfId="0" applyFont="1" applyBorder="1" applyAlignment="1">
      <alignment horizontal="center" vertical="justify"/>
    </xf>
    <xf numFmtId="0" fontId="30" fillId="0" borderId="95" xfId="0" applyFont="1" applyBorder="1" applyAlignment="1">
      <alignment horizontal="center" vertical="justify"/>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0" xfId="0" applyFont="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justify" vertical="center" wrapText="1"/>
    </xf>
    <xf numFmtId="0" fontId="30" fillId="0" borderId="11" xfId="0" applyFont="1" applyBorder="1" applyAlignment="1">
      <alignment horizontal="justify" vertical="center" wrapText="1"/>
    </xf>
    <xf numFmtId="0" fontId="30" fillId="0" borderId="12" xfId="0" applyFont="1" applyBorder="1" applyAlignment="1">
      <alignment horizontal="justify" vertical="center" wrapText="1"/>
    </xf>
    <xf numFmtId="9" fontId="30" fillId="0" borderId="69" xfId="1" applyFont="1" applyBorder="1" applyAlignment="1">
      <alignment horizontal="center" vertical="center" wrapText="1"/>
    </xf>
    <xf numFmtId="1" fontId="30" fillId="0" borderId="69" xfId="0" applyNumberFormat="1" applyFont="1" applyBorder="1" applyAlignment="1">
      <alignment horizontal="center" vertical="center" wrapText="1"/>
    </xf>
    <xf numFmtId="0" fontId="30" fillId="0" borderId="97" xfId="0" applyFont="1" applyBorder="1" applyAlignment="1">
      <alignment horizontal="center" vertical="justify"/>
    </xf>
    <xf numFmtId="0" fontId="30" fillId="0" borderId="2" xfId="0" applyFont="1" applyBorder="1" applyAlignment="1">
      <alignment horizontal="center" vertical="justify"/>
    </xf>
    <xf numFmtId="0" fontId="31" fillId="0" borderId="61" xfId="0" applyFont="1" applyBorder="1" applyAlignment="1">
      <alignment horizontal="center" vertical="center" wrapText="1"/>
    </xf>
    <xf numFmtId="0" fontId="31" fillId="0" borderId="85" xfId="0" applyFont="1" applyBorder="1" applyAlignment="1">
      <alignment horizontal="center" vertical="center" wrapText="1"/>
    </xf>
    <xf numFmtId="0" fontId="31" fillId="3" borderId="63" xfId="0" applyFont="1" applyFill="1" applyBorder="1" applyAlignment="1">
      <alignment horizontal="center" vertical="center" wrapText="1"/>
    </xf>
    <xf numFmtId="0" fontId="30" fillId="3" borderId="29" xfId="0" applyFont="1" applyFill="1" applyBorder="1" applyAlignment="1">
      <alignment horizontal="center" vertical="center" wrapText="1"/>
    </xf>
    <xf numFmtId="0" fontId="30" fillId="3" borderId="68" xfId="0" applyFont="1" applyFill="1" applyBorder="1" applyAlignment="1">
      <alignment horizontal="center" vertical="center" wrapText="1"/>
    </xf>
    <xf numFmtId="0" fontId="30" fillId="0" borderId="77"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57" xfId="0" applyFont="1" applyBorder="1" applyAlignment="1">
      <alignment horizontal="center" vertical="center" wrapText="1"/>
    </xf>
    <xf numFmtId="1" fontId="36" fillId="0" borderId="69" xfId="0" applyNumberFormat="1" applyFont="1" applyBorder="1" applyAlignment="1">
      <alignment horizontal="center" vertical="center" wrapText="1"/>
    </xf>
    <xf numFmtId="1" fontId="36" fillId="0" borderId="49" xfId="0" applyNumberFormat="1" applyFont="1" applyBorder="1" applyAlignment="1">
      <alignment horizontal="center" vertical="center" wrapText="1"/>
    </xf>
    <xf numFmtId="9" fontId="36" fillId="0" borderId="69" xfId="1" applyFont="1" applyBorder="1" applyAlignment="1">
      <alignment horizontal="center" vertical="center" wrapText="1"/>
    </xf>
    <xf numFmtId="9" fontId="36" fillId="0" borderId="49" xfId="1" applyFont="1" applyBorder="1" applyAlignment="1">
      <alignment horizontal="center" vertical="center" wrapText="1"/>
    </xf>
    <xf numFmtId="0" fontId="36" fillId="0" borderId="77"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wrapText="1"/>
      <protection locked="0"/>
    </xf>
    <xf numFmtId="10" fontId="36" fillId="0" borderId="60" xfId="0" applyNumberFormat="1" applyFont="1" applyBorder="1" applyAlignment="1" applyProtection="1">
      <alignment horizontal="center" vertical="center" wrapText="1"/>
      <protection locked="0"/>
    </xf>
    <xf numFmtId="0" fontId="36" fillId="0" borderId="56" xfId="0"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36" fillId="0" borderId="32" xfId="0" applyFont="1" applyBorder="1" applyAlignment="1" applyProtection="1">
      <alignment horizontal="center" vertical="center" wrapText="1"/>
      <protection locked="0"/>
    </xf>
    <xf numFmtId="0" fontId="36" fillId="0" borderId="30" xfId="0" applyFont="1" applyBorder="1" applyAlignment="1">
      <alignment horizontal="center" vertical="center" wrapText="1"/>
    </xf>
    <xf numFmtId="1" fontId="36" fillId="0" borderId="31" xfId="0" applyNumberFormat="1" applyFont="1" applyBorder="1" applyAlignment="1">
      <alignment horizontal="center" vertical="center" wrapText="1"/>
    </xf>
    <xf numFmtId="9" fontId="36" fillId="0" borderId="31" xfId="1" applyFont="1" applyBorder="1" applyAlignment="1">
      <alignment horizontal="center" vertical="center" wrapText="1"/>
    </xf>
    <xf numFmtId="9" fontId="36" fillId="0" borderId="69" xfId="0" applyNumberFormat="1" applyFont="1" applyBorder="1" applyAlignment="1">
      <alignment horizontal="center" vertical="center" wrapText="1"/>
    </xf>
    <xf numFmtId="9" fontId="36" fillId="0" borderId="31" xfId="0" applyNumberFormat="1" applyFont="1" applyBorder="1" applyAlignment="1">
      <alignment horizontal="center" vertical="center" wrapText="1"/>
    </xf>
    <xf numFmtId="0" fontId="36" fillId="0" borderId="60" xfId="0" applyFont="1" applyBorder="1" applyAlignment="1" applyProtection="1">
      <alignment horizontal="center" vertical="center" wrapText="1"/>
      <protection locked="0"/>
    </xf>
    <xf numFmtId="9" fontId="36" fillId="0" borderId="49" xfId="0" applyNumberFormat="1" applyFont="1" applyBorder="1" applyAlignment="1">
      <alignment horizontal="center" vertical="center" wrapText="1"/>
    </xf>
    <xf numFmtId="10" fontId="36" fillId="0" borderId="41" xfId="0" applyNumberFormat="1" applyFont="1" applyBorder="1" applyAlignment="1" applyProtection="1">
      <alignment horizontal="center" vertical="center" wrapText="1"/>
      <protection locked="0"/>
    </xf>
    <xf numFmtId="10" fontId="36" fillId="0" borderId="56" xfId="0" applyNumberFormat="1" applyFont="1" applyBorder="1" applyAlignment="1" applyProtection="1">
      <alignment horizontal="center" vertical="center" wrapText="1"/>
      <protection locked="0"/>
    </xf>
    <xf numFmtId="0" fontId="36" fillId="0" borderId="33" xfId="0" applyFont="1" applyBorder="1" applyAlignment="1">
      <alignment horizontal="center" vertical="center" wrapText="1"/>
    </xf>
    <xf numFmtId="1" fontId="36" fillId="0" borderId="34" xfId="0" applyNumberFormat="1" applyFont="1" applyBorder="1" applyAlignment="1">
      <alignment horizontal="center" vertical="center" wrapText="1"/>
    </xf>
    <xf numFmtId="9" fontId="36" fillId="0" borderId="34" xfId="1" applyFont="1" applyBorder="1" applyAlignment="1">
      <alignment horizontal="center" vertical="center" wrapText="1"/>
    </xf>
    <xf numFmtId="9" fontId="36" fillId="0" borderId="55" xfId="0" applyNumberFormat="1" applyFont="1" applyBorder="1" applyAlignment="1">
      <alignment horizontal="center" vertical="center" wrapText="1"/>
    </xf>
    <xf numFmtId="9" fontId="36" fillId="0" borderId="44" xfId="0" applyNumberFormat="1" applyFont="1" applyBorder="1" applyAlignment="1">
      <alignment horizontal="center" vertical="center" wrapText="1"/>
    </xf>
    <xf numFmtId="0" fontId="36" fillId="10" borderId="59" xfId="0" applyFont="1" applyFill="1" applyBorder="1" applyAlignment="1">
      <alignment horizontal="center" vertical="center" wrapText="1"/>
    </xf>
    <xf numFmtId="0" fontId="36" fillId="10" borderId="30" xfId="0" applyFont="1" applyFill="1" applyBorder="1" applyAlignment="1">
      <alignment horizontal="center" vertical="center" wrapText="1"/>
    </xf>
    <xf numFmtId="0" fontId="36" fillId="10" borderId="57" xfId="0" applyFont="1" applyFill="1" applyBorder="1" applyAlignment="1">
      <alignment horizontal="center" vertical="center" wrapText="1"/>
    </xf>
    <xf numFmtId="1" fontId="36" fillId="0" borderId="44" xfId="0" applyNumberFormat="1" applyFont="1" applyBorder="1" applyAlignment="1">
      <alignment horizontal="center" vertical="center" wrapText="1"/>
    </xf>
    <xf numFmtId="9" fontId="36" fillId="0" borderId="44" xfId="1" applyFont="1" applyBorder="1" applyAlignment="1">
      <alignment horizontal="center" vertical="center" wrapText="1"/>
    </xf>
    <xf numFmtId="0" fontId="36" fillId="0" borderId="43" xfId="0" applyFont="1" applyBorder="1" applyAlignment="1">
      <alignment horizontal="center" vertical="center" wrapText="1"/>
    </xf>
    <xf numFmtId="0" fontId="36" fillId="0" borderId="9" xfId="0" applyFont="1" applyBorder="1" applyAlignment="1" applyProtection="1">
      <alignment horizontal="center" vertical="center" wrapText="1"/>
      <protection locked="0"/>
    </xf>
    <xf numFmtId="0" fontId="30" fillId="0" borderId="80" xfId="0" applyFont="1" applyBorder="1" applyAlignment="1" applyProtection="1">
      <alignment horizontal="center" vertical="center" wrapText="1"/>
      <protection locked="0"/>
    </xf>
    <xf numFmtId="0" fontId="30" fillId="0" borderId="81" xfId="0" applyFont="1" applyBorder="1" applyAlignment="1" applyProtection="1">
      <alignment horizontal="center" vertical="center" wrapText="1"/>
      <protection locked="0"/>
    </xf>
    <xf numFmtId="0" fontId="30" fillId="0" borderId="82" xfId="0" applyFont="1" applyBorder="1" applyAlignment="1" applyProtection="1">
      <alignment horizontal="center" vertical="center" wrapText="1"/>
      <protection locked="0"/>
    </xf>
    <xf numFmtId="0" fontId="36" fillId="0" borderId="65" xfId="0" applyFont="1" applyBorder="1" applyAlignment="1">
      <alignment horizontal="center" vertical="center" wrapText="1"/>
    </xf>
    <xf numFmtId="1" fontId="36" fillId="0" borderId="77" xfId="0" applyNumberFormat="1" applyFont="1" applyBorder="1" applyAlignment="1">
      <alignment horizontal="center" vertical="center" wrapText="1"/>
    </xf>
    <xf numFmtId="1" fontId="36" fillId="0" borderId="14" xfId="0" applyNumberFormat="1" applyFont="1" applyBorder="1" applyAlignment="1">
      <alignment horizontal="center" vertical="center" wrapText="1"/>
    </xf>
    <xf numFmtId="1" fontId="36" fillId="0" borderId="46" xfId="0" applyNumberFormat="1" applyFont="1" applyBorder="1" applyAlignment="1">
      <alignment horizontal="center" vertical="center" wrapText="1"/>
    </xf>
    <xf numFmtId="0" fontId="36" fillId="0" borderId="85"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34" xfId="0" applyFont="1" applyBorder="1" applyAlignment="1">
      <alignment horizontal="center" vertical="center" wrapText="1"/>
    </xf>
    <xf numFmtId="1" fontId="36" fillId="0" borderId="85" xfId="0" applyNumberFormat="1" applyFont="1" applyBorder="1" applyAlignment="1">
      <alignment horizontal="center" vertical="center" wrapText="1"/>
    </xf>
    <xf numFmtId="1" fontId="36" fillId="0" borderId="55" xfId="0" applyNumberFormat="1" applyFont="1" applyBorder="1" applyAlignment="1">
      <alignment horizontal="center" vertical="center" wrapText="1"/>
    </xf>
    <xf numFmtId="0" fontId="0" fillId="0" borderId="94" xfId="0" applyBorder="1" applyAlignment="1">
      <alignment horizontal="center"/>
    </xf>
    <xf numFmtId="0" fontId="0" fillId="0" borderId="92" xfId="0" applyBorder="1" applyAlignment="1">
      <alignment horizont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89" xfId="0" applyFont="1" applyBorder="1" applyAlignment="1">
      <alignment horizontal="center" vertical="center"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wrapText="1"/>
    </xf>
    <xf numFmtId="9" fontId="0" fillId="0" borderId="60" xfId="1" applyFont="1" applyBorder="1" applyAlignment="1">
      <alignment horizontal="center" vertical="center"/>
    </xf>
    <xf numFmtId="9" fontId="0" fillId="0" borderId="32" xfId="1" applyFont="1" applyBorder="1" applyAlignment="1">
      <alignment horizontal="center" vertical="center"/>
    </xf>
    <xf numFmtId="9" fontId="0" fillId="0" borderId="56" xfId="1" applyFont="1" applyBorder="1" applyAlignment="1">
      <alignment horizontal="center" vertical="center"/>
    </xf>
    <xf numFmtId="0" fontId="39" fillId="0" borderId="80" xfId="0" applyFont="1" applyBorder="1" applyAlignment="1">
      <alignment horizontal="center" vertical="center" wrapText="1"/>
    </xf>
    <xf numFmtId="0" fontId="39" fillId="0" borderId="81" xfId="0" applyFont="1" applyBorder="1" applyAlignment="1">
      <alignment horizontal="center" vertical="center" wrapText="1"/>
    </xf>
    <xf numFmtId="0" fontId="0" fillId="0" borderId="59" xfId="0" applyBorder="1" applyAlignment="1">
      <alignment horizontal="center" vertical="center" wrapText="1"/>
    </xf>
    <xf numFmtId="0" fontId="0" fillId="0" borderId="30" xfId="0" applyBorder="1" applyAlignment="1">
      <alignment horizontal="center" vertical="center" wrapText="1"/>
    </xf>
    <xf numFmtId="0" fontId="0" fillId="0" borderId="43" xfId="0" applyBorder="1" applyAlignment="1">
      <alignment horizontal="center" vertical="center" wrapText="1"/>
    </xf>
    <xf numFmtId="0" fontId="43" fillId="0" borderId="0" xfId="0" applyFont="1" applyBorder="1" applyAlignment="1">
      <alignment horizontal="center" vertical="center"/>
    </xf>
    <xf numFmtId="10" fontId="0" fillId="0" borderId="60" xfId="0" applyNumberFormat="1" applyBorder="1" applyAlignment="1">
      <alignment horizontal="center" vertical="center"/>
    </xf>
    <xf numFmtId="0" fontId="0" fillId="0" borderId="32" xfId="0" applyBorder="1" applyAlignment="1">
      <alignment horizontal="center" vertical="center"/>
    </xf>
    <xf numFmtId="0" fontId="0" fillId="0" borderId="45" xfId="0" applyBorder="1" applyAlignment="1">
      <alignment horizontal="center" vertical="center"/>
    </xf>
    <xf numFmtId="0" fontId="0" fillId="0" borderId="57" xfId="0" applyBorder="1" applyAlignment="1">
      <alignment horizontal="center" vertical="center" wrapText="1"/>
    </xf>
    <xf numFmtId="9" fontId="0" fillId="0" borderId="60" xfId="0" applyNumberFormat="1" applyBorder="1" applyAlignment="1">
      <alignment horizontal="center" vertical="center"/>
    </xf>
    <xf numFmtId="9" fontId="0" fillId="0" borderId="45" xfId="1" applyFont="1" applyBorder="1" applyAlignment="1">
      <alignment horizontal="center" vertical="center"/>
    </xf>
    <xf numFmtId="170" fontId="0" fillId="0" borderId="80" xfId="0" applyNumberFormat="1" applyBorder="1" applyAlignment="1">
      <alignment horizontal="center"/>
    </xf>
    <xf numFmtId="170" fontId="0" fillId="0" borderId="81" xfId="0" applyNumberFormat="1" applyBorder="1" applyAlignment="1">
      <alignment horizontal="center"/>
    </xf>
    <xf numFmtId="170" fontId="0" fillId="0" borderId="82" xfId="0" applyNumberFormat="1" applyBorder="1" applyAlignment="1">
      <alignment horizontal="center"/>
    </xf>
    <xf numFmtId="1" fontId="30" fillId="0" borderId="50" xfId="0" applyNumberFormat="1" applyFont="1" applyBorder="1" applyAlignment="1">
      <alignment horizontal="center" vertical="center" wrapText="1"/>
    </xf>
    <xf numFmtId="1" fontId="30" fillId="0" borderId="19" xfId="0" applyNumberFormat="1" applyFont="1" applyBorder="1" applyAlignment="1">
      <alignment horizontal="center" vertical="center" wrapText="1"/>
    </xf>
    <xf numFmtId="9" fontId="30" fillId="0" borderId="63" xfId="1" applyFont="1" applyBorder="1" applyAlignment="1">
      <alignment horizontal="center" vertical="center" wrapText="1"/>
    </xf>
    <xf numFmtId="9" fontId="30" fillId="0" borderId="42" xfId="1" applyFont="1" applyBorder="1" applyAlignment="1">
      <alignment horizontal="center" vertical="center" wrapText="1"/>
    </xf>
    <xf numFmtId="1" fontId="30" fillId="0" borderId="80" xfId="0" applyNumberFormat="1" applyFont="1" applyBorder="1" applyAlignment="1">
      <alignment horizontal="center" vertical="center" wrapText="1"/>
    </xf>
    <xf numFmtId="1" fontId="30" fillId="0" borderId="82" xfId="0" applyNumberFormat="1" applyFont="1" applyBorder="1" applyAlignment="1">
      <alignment horizontal="center" vertical="center" wrapText="1"/>
    </xf>
    <xf numFmtId="0" fontId="30" fillId="0" borderId="89"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2" xfId="0" applyFont="1" applyBorder="1" applyAlignment="1">
      <alignment horizontal="center" vertical="center" wrapText="1"/>
    </xf>
    <xf numFmtId="1" fontId="30" fillId="0" borderId="11" xfId="0" applyNumberFormat="1" applyFont="1" applyBorder="1" applyAlignment="1">
      <alignment horizontal="center" vertical="center" wrapText="1"/>
    </xf>
    <xf numFmtId="1" fontId="30" fillId="0" borderId="75" xfId="0" applyNumberFormat="1" applyFont="1" applyBorder="1" applyAlignment="1">
      <alignment horizontal="center" vertical="center" wrapText="1"/>
    </xf>
    <xf numFmtId="1" fontId="30" fillId="0" borderId="91" xfId="0" applyNumberFormat="1" applyFont="1" applyBorder="1" applyAlignment="1">
      <alignment horizontal="center" vertical="center" wrapText="1"/>
    </xf>
    <xf numFmtId="1" fontId="30" fillId="0" borderId="93" xfId="0" applyNumberFormat="1" applyFont="1" applyBorder="1" applyAlignment="1">
      <alignment horizontal="center" vertical="center" wrapText="1"/>
    </xf>
    <xf numFmtId="0" fontId="30" fillId="0" borderId="80" xfId="0" applyFont="1" applyBorder="1" applyAlignment="1">
      <alignment horizontal="center" vertical="center" wrapText="1"/>
    </xf>
    <xf numFmtId="1" fontId="30" fillId="0" borderId="97" xfId="0" applyNumberFormat="1" applyFont="1" applyBorder="1" applyAlignment="1">
      <alignment horizontal="center" vertical="center" wrapText="1"/>
    </xf>
    <xf numFmtId="1" fontId="30" fillId="0" borderId="88" xfId="0" applyNumberFormat="1" applyFont="1" applyBorder="1" applyAlignment="1">
      <alignment horizontal="center" vertical="center" wrapText="1"/>
    </xf>
    <xf numFmtId="1" fontId="30" fillId="0" borderId="15" xfId="0" applyNumberFormat="1" applyFont="1" applyBorder="1" applyAlignment="1">
      <alignment horizontal="center" vertical="center" wrapText="1"/>
    </xf>
    <xf numFmtId="1" fontId="30" fillId="0" borderId="2" xfId="0" applyNumberFormat="1" applyFont="1" applyBorder="1" applyAlignment="1">
      <alignment horizontal="center" vertical="center" wrapText="1"/>
    </xf>
    <xf numFmtId="1" fontId="30" fillId="0" borderId="0" xfId="0" applyNumberFormat="1" applyFont="1" applyBorder="1" applyAlignment="1">
      <alignment horizontal="center" vertical="center" wrapText="1"/>
    </xf>
    <xf numFmtId="1" fontId="30" fillId="0" borderId="16" xfId="0" applyNumberFormat="1" applyFont="1" applyBorder="1" applyAlignment="1">
      <alignment horizontal="center" vertical="center" wrapText="1"/>
    </xf>
    <xf numFmtId="0" fontId="31" fillId="0" borderId="43" xfId="0" applyFont="1" applyBorder="1" applyAlignment="1">
      <alignment horizontal="center" vertical="center" textRotation="90" wrapText="1"/>
    </xf>
    <xf numFmtId="9" fontId="30" fillId="0" borderId="75" xfId="1" applyFont="1" applyBorder="1" applyAlignment="1">
      <alignment horizontal="center" vertical="center" wrapText="1"/>
    </xf>
    <xf numFmtId="9" fontId="30" fillId="0" borderId="91" xfId="1" applyFont="1" applyBorder="1" applyAlignment="1">
      <alignment horizontal="center" vertical="center" wrapText="1"/>
    </xf>
    <xf numFmtId="9" fontId="30" fillId="0" borderId="93" xfId="1" applyFont="1" applyBorder="1" applyAlignment="1">
      <alignment horizontal="center" vertical="center" wrapText="1"/>
    </xf>
    <xf numFmtId="0" fontId="31" fillId="0" borderId="42" xfId="0" applyFont="1" applyBorder="1" applyAlignment="1">
      <alignment horizontal="center" vertical="center" wrapText="1"/>
    </xf>
    <xf numFmtId="0" fontId="31" fillId="0" borderId="52" xfId="0" applyFont="1" applyBorder="1" applyAlignment="1">
      <alignment horizontal="center" vertical="center" wrapText="1"/>
    </xf>
    <xf numFmtId="0" fontId="30" fillId="0" borderId="10" xfId="0" applyFont="1" applyBorder="1" applyAlignment="1">
      <alignment horizontal="center" vertical="justify"/>
    </xf>
    <xf numFmtId="0" fontId="30" fillId="0" borderId="11" xfId="0" applyFont="1" applyBorder="1" applyAlignment="1">
      <alignment horizontal="center" vertical="justify"/>
    </xf>
    <xf numFmtId="0" fontId="30" fillId="0" borderId="12" xfId="0" applyFont="1" applyBorder="1" applyAlignment="1">
      <alignment horizontal="center" vertical="justify"/>
    </xf>
    <xf numFmtId="0" fontId="30" fillId="0" borderId="3" xfId="0" applyFont="1" applyBorder="1" applyAlignment="1">
      <alignment horizontal="center" vertical="center" wrapText="1"/>
    </xf>
    <xf numFmtId="0" fontId="31" fillId="0" borderId="75" xfId="0" applyFont="1" applyBorder="1" applyAlignment="1">
      <alignment horizontal="center" vertical="center" textRotation="90" wrapText="1"/>
    </xf>
    <xf numFmtId="0" fontId="31" fillId="0" borderId="91" xfId="0" applyFont="1" applyBorder="1" applyAlignment="1">
      <alignment horizontal="center" vertical="center" textRotation="90" wrapText="1"/>
    </xf>
    <xf numFmtId="0" fontId="31" fillId="0" borderId="96" xfId="0" applyFont="1" applyBorder="1" applyAlignment="1">
      <alignment horizontal="center" vertical="center" textRotation="90"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2" borderId="10" xfId="0" applyFont="1" applyFill="1" applyBorder="1" applyAlignment="1">
      <alignment horizontal="right" vertical="center" wrapText="1"/>
    </xf>
    <xf numFmtId="0" fontId="31" fillId="2" borderId="11" xfId="0" applyFont="1" applyFill="1" applyBorder="1" applyAlignment="1">
      <alignment horizontal="right" vertical="center" wrapText="1"/>
    </xf>
    <xf numFmtId="0" fontId="31" fillId="2" borderId="11" xfId="0" applyFont="1" applyFill="1" applyBorder="1" applyAlignment="1">
      <alignment horizontal="left"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0" borderId="1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1" xfId="0" applyFont="1" applyBorder="1" applyAlignment="1">
      <alignment horizontal="justify"/>
    </xf>
    <xf numFmtId="0" fontId="30" fillId="0" borderId="12" xfId="0" applyFont="1" applyBorder="1" applyAlignment="1">
      <alignment horizontal="justify"/>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63" xfId="0" applyFont="1" applyBorder="1" applyAlignment="1" applyProtection="1">
      <alignment horizontal="center" vertical="center" wrapText="1"/>
      <protection locked="0"/>
    </xf>
    <xf numFmtId="0" fontId="30" fillId="0" borderId="29" xfId="0" applyFont="1" applyBorder="1" applyAlignment="1" applyProtection="1">
      <alignment horizontal="center" vertical="center" wrapText="1"/>
      <protection locked="0"/>
    </xf>
    <xf numFmtId="0" fontId="30" fillId="0" borderId="42" xfId="0" applyFont="1" applyBorder="1" applyAlignment="1" applyProtection="1">
      <alignment horizontal="center" vertical="center" wrapText="1"/>
      <protection locked="0"/>
    </xf>
    <xf numFmtId="0" fontId="30" fillId="0" borderId="73"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20" xfId="0" applyFont="1" applyBorder="1" applyAlignment="1" applyProtection="1">
      <alignment horizontal="center" vertical="center" wrapText="1"/>
      <protection locked="0"/>
    </xf>
    <xf numFmtId="10" fontId="30" fillId="0" borderId="80" xfId="0" applyNumberFormat="1" applyFont="1" applyBorder="1" applyAlignment="1" applyProtection="1">
      <alignment horizontal="center" vertical="center" wrapText="1"/>
      <protection locked="0"/>
    </xf>
    <xf numFmtId="9" fontId="27" fillId="0" borderId="78" xfId="1" applyFont="1" applyBorder="1" applyAlignment="1">
      <alignment horizontal="center" vertical="center" wrapText="1"/>
    </xf>
    <xf numFmtId="9" fontId="27" fillId="0" borderId="48" xfId="1" applyFont="1" applyBorder="1" applyAlignment="1">
      <alignment horizontal="center" vertical="center" wrapText="1"/>
    </xf>
    <xf numFmtId="0" fontId="27" fillId="0" borderId="9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88" xfId="0" applyFont="1" applyBorder="1" applyAlignment="1">
      <alignment horizontal="center" vertical="center" wrapText="1"/>
    </xf>
    <xf numFmtId="1" fontId="27" fillId="0" borderId="69"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1" fontId="27" fillId="0" borderId="49" xfId="0" applyNumberFormat="1" applyFont="1" applyBorder="1" applyAlignment="1">
      <alignment horizontal="center" vertical="center" wrapText="1"/>
    </xf>
    <xf numFmtId="9" fontId="27" fillId="0" borderId="74" xfId="1" applyFont="1" applyBorder="1" applyAlignment="1">
      <alignment horizontal="center" vertical="center" wrapText="1"/>
    </xf>
    <xf numFmtId="9" fontId="27" fillId="0" borderId="10" xfId="1" applyFont="1" applyBorder="1" applyAlignment="1">
      <alignment horizontal="center" vertical="center" wrapText="1"/>
    </xf>
    <xf numFmtId="9" fontId="27" fillId="0" borderId="87" xfId="1" applyFont="1" applyBorder="1" applyAlignment="1">
      <alignment horizontal="center" vertical="center" wrapText="1"/>
    </xf>
    <xf numFmtId="9" fontId="27" fillId="0" borderId="18" xfId="1" applyFont="1" applyBorder="1" applyAlignment="1">
      <alignment horizontal="center" vertical="center" wrapText="1"/>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0" fontId="27" fillId="0" borderId="5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57" xfId="0" applyFont="1" applyBorder="1" applyAlignment="1">
      <alignment horizontal="center" vertical="center" wrapText="1"/>
    </xf>
    <xf numFmtId="1" fontId="27" fillId="0" borderId="44" xfId="0" applyNumberFormat="1" applyFont="1" applyBorder="1" applyAlignment="1">
      <alignment horizontal="center" vertical="center" wrapText="1"/>
    </xf>
    <xf numFmtId="0" fontId="27" fillId="0" borderId="15" xfId="0" applyFont="1" applyBorder="1" applyAlignment="1">
      <alignment horizontal="center" vertical="center" wrapText="1"/>
    </xf>
    <xf numFmtId="1" fontId="27" fillId="0" borderId="85" xfId="0" applyNumberFormat="1" applyFont="1" applyBorder="1" applyAlignment="1">
      <alignment horizontal="center" vertical="center" wrapText="1"/>
    </xf>
    <xf numFmtId="1" fontId="27" fillId="0" borderId="55" xfId="0" applyNumberFormat="1" applyFont="1" applyBorder="1" applyAlignment="1">
      <alignment horizontal="center" vertical="center" wrapText="1"/>
    </xf>
    <xf numFmtId="1" fontId="27" fillId="0" borderId="52" xfId="0" applyNumberFormat="1" applyFont="1" applyBorder="1" applyAlignment="1">
      <alignment horizontal="center" vertical="center" wrapText="1"/>
    </xf>
    <xf numFmtId="9" fontId="27" fillId="0" borderId="79" xfId="1" applyFont="1" applyBorder="1" applyAlignment="1">
      <alignment horizontal="center" vertical="center"/>
    </xf>
    <xf numFmtId="9" fontId="27" fillId="0" borderId="39" xfId="1" applyFont="1" applyBorder="1" applyAlignment="1">
      <alignment horizontal="center" vertical="center"/>
    </xf>
    <xf numFmtId="9" fontId="27" fillId="0" borderId="61" xfId="1" applyFont="1" applyBorder="1" applyAlignment="1">
      <alignment horizontal="center" vertical="center"/>
    </xf>
    <xf numFmtId="1" fontId="27" fillId="0" borderId="84" xfId="0" applyNumberFormat="1" applyFont="1" applyBorder="1" applyAlignment="1">
      <alignment horizontal="center" vertical="center" wrapText="1"/>
    </xf>
    <xf numFmtId="1" fontId="27" fillId="0" borderId="65" xfId="0" applyNumberFormat="1" applyFont="1" applyBorder="1" applyAlignment="1">
      <alignment horizontal="center" vertical="center" wrapText="1"/>
    </xf>
    <xf numFmtId="1" fontId="27" fillId="0" borderId="47" xfId="0" applyNumberFormat="1" applyFont="1" applyBorder="1" applyAlignment="1">
      <alignment horizontal="center" vertical="center" wrapText="1"/>
    </xf>
    <xf numFmtId="0" fontId="28" fillId="0" borderId="88" xfId="0" applyFont="1" applyBorder="1" applyAlignment="1">
      <alignment horizontal="center" vertical="center" wrapText="1"/>
    </xf>
    <xf numFmtId="0" fontId="28" fillId="0" borderId="0" xfId="0" applyFont="1" applyAlignment="1">
      <alignment horizontal="center" vertical="center" wrapText="1"/>
    </xf>
    <xf numFmtId="0" fontId="28" fillId="0" borderId="9" xfId="0" applyFont="1" applyBorder="1" applyAlignment="1">
      <alignment horizontal="center" vertical="center" wrapText="1"/>
    </xf>
    <xf numFmtId="0" fontId="27" fillId="0" borderId="10" xfId="0" applyFont="1" applyBorder="1" applyAlignment="1">
      <alignment horizontal="justify" vertical="center" wrapText="1"/>
    </xf>
    <xf numFmtId="0" fontId="27" fillId="0" borderId="11" xfId="0" applyFont="1" applyBorder="1" applyAlignment="1">
      <alignment horizontal="justify"/>
    </xf>
    <xf numFmtId="0" fontId="27" fillId="0" borderId="12" xfId="0" applyFont="1" applyBorder="1" applyAlignment="1">
      <alignment horizontal="justify"/>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7" fillId="0" borderId="10" xfId="0" applyFont="1" applyBorder="1" applyAlignment="1">
      <alignment horizontal="center" vertical="justify"/>
    </xf>
    <xf numFmtId="0" fontId="27" fillId="0" borderId="11" xfId="0" applyFont="1" applyBorder="1" applyAlignment="1">
      <alignment horizontal="center" vertical="justify"/>
    </xf>
    <xf numFmtId="0" fontId="27" fillId="0" borderId="12" xfId="0" applyFont="1" applyBorder="1" applyAlignment="1">
      <alignment horizontal="center" vertical="justify"/>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27" fillId="0" borderId="9" xfId="0" applyFont="1" applyBorder="1" applyAlignment="1">
      <alignment horizontal="center" vertical="center" wrapText="1"/>
    </xf>
    <xf numFmtId="0" fontId="28" fillId="0" borderId="74" xfId="0" applyFont="1" applyBorder="1" applyAlignment="1">
      <alignment horizontal="center" vertical="center" wrapText="1"/>
    </xf>
    <xf numFmtId="0" fontId="28" fillId="0" borderId="76"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12" xfId="0" applyFont="1" applyBorder="1" applyAlignment="1">
      <alignment horizontal="center" vertical="center" wrapText="1"/>
    </xf>
    <xf numFmtId="0" fontId="28" fillId="2" borderId="10" xfId="0" applyFont="1" applyFill="1" applyBorder="1" applyAlignment="1">
      <alignment horizontal="right" vertical="center" wrapText="1"/>
    </xf>
    <xf numFmtId="0" fontId="28" fillId="2" borderId="11" xfId="0" applyFont="1" applyFill="1" applyBorder="1" applyAlignment="1">
      <alignment horizontal="right" vertical="center" wrapText="1"/>
    </xf>
    <xf numFmtId="0" fontId="28" fillId="2" borderId="11" xfId="0" applyFont="1" applyFill="1" applyBorder="1" applyAlignment="1">
      <alignment horizontal="left"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7" fillId="0" borderId="40"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8" xfId="0" applyFont="1" applyBorder="1" applyAlignment="1">
      <alignment horizontal="center" vertical="center" wrapText="1"/>
    </xf>
    <xf numFmtId="0" fontId="28" fillId="0" borderId="75"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47" xfId="0" applyFont="1" applyBorder="1" applyAlignment="1">
      <alignment horizontal="center" vertical="center" wrapText="1"/>
    </xf>
    <xf numFmtId="0" fontId="28" fillId="3" borderId="73"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7" fillId="0" borderId="70"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72" xfId="0" applyFont="1" applyBorder="1" applyAlignment="1">
      <alignment horizontal="center" vertical="center" wrapText="1"/>
    </xf>
    <xf numFmtId="0" fontId="28" fillId="0" borderId="59" xfId="0" applyFont="1" applyBorder="1" applyAlignment="1">
      <alignment horizontal="center" vertical="center" textRotation="90" wrapText="1"/>
    </xf>
    <xf numFmtId="0" fontId="28" fillId="0" borderId="30" xfId="0" applyFont="1" applyBorder="1" applyAlignment="1">
      <alignment horizontal="center" vertical="center" textRotation="90" wrapText="1"/>
    </xf>
    <xf numFmtId="0" fontId="28" fillId="0" borderId="57" xfId="0" applyFont="1" applyBorder="1" applyAlignment="1">
      <alignment horizontal="center" vertical="center" textRotation="90" wrapText="1"/>
    </xf>
    <xf numFmtId="0" fontId="28" fillId="0" borderId="63"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69" xfId="0" applyFont="1" applyBorder="1" applyAlignment="1">
      <alignment horizontal="center" vertical="center" textRotation="90" wrapText="1"/>
    </xf>
    <xf numFmtId="0" fontId="28" fillId="0" borderId="31" xfId="0" applyFont="1" applyBorder="1" applyAlignment="1">
      <alignment horizontal="center" vertical="center" textRotation="90" wrapText="1"/>
    </xf>
    <xf numFmtId="0" fontId="28" fillId="0" borderId="44" xfId="0" applyFont="1" applyBorder="1" applyAlignment="1">
      <alignment horizontal="center" vertical="center" textRotation="90" wrapText="1"/>
    </xf>
    <xf numFmtId="0" fontId="28" fillId="0" borderId="44" xfId="0" applyFont="1" applyBorder="1" applyAlignment="1">
      <alignment horizontal="center" vertical="center" wrapText="1"/>
    </xf>
    <xf numFmtId="0" fontId="28" fillId="10" borderId="69" xfId="0" applyFont="1" applyFill="1" applyBorder="1" applyAlignment="1">
      <alignment horizontal="center" vertical="center" wrapText="1"/>
    </xf>
    <xf numFmtId="0" fontId="28" fillId="10" borderId="31" xfId="0" applyFont="1" applyFill="1" applyBorder="1" applyAlignment="1">
      <alignment horizontal="center" vertical="center" wrapText="1"/>
    </xf>
    <xf numFmtId="0" fontId="28" fillId="10" borderId="49" xfId="0" applyFont="1" applyFill="1" applyBorder="1" applyAlignment="1">
      <alignment horizontal="center" vertical="center" wrapText="1"/>
    </xf>
    <xf numFmtId="0" fontId="28" fillId="0" borderId="85"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52" xfId="0" applyFont="1" applyBorder="1" applyAlignment="1">
      <alignment horizontal="center" vertical="center" wrapText="1"/>
    </xf>
    <xf numFmtId="1" fontId="27" fillId="0" borderId="33" xfId="0" applyNumberFormat="1" applyFont="1" applyBorder="1" applyAlignment="1">
      <alignment horizontal="center" vertical="center" wrapText="1"/>
    </xf>
    <xf numFmtId="9" fontId="27" fillId="0" borderId="69" xfId="1" applyFont="1" applyBorder="1" applyAlignment="1">
      <alignment horizontal="center" vertical="center" wrapText="1"/>
    </xf>
    <xf numFmtId="9" fontId="27" fillId="0" borderId="31" xfId="1" applyFont="1" applyBorder="1" applyAlignment="1">
      <alignment horizontal="center" vertical="center" wrapText="1"/>
    </xf>
    <xf numFmtId="9" fontId="27" fillId="0" borderId="44" xfId="1" applyFont="1" applyBorder="1" applyAlignment="1">
      <alignment horizontal="center" vertical="center" wrapText="1"/>
    </xf>
    <xf numFmtId="9" fontId="27" fillId="0" borderId="55" xfId="1" applyFont="1" applyBorder="1" applyAlignment="1">
      <alignment horizontal="center" vertical="center" wrapText="1"/>
    </xf>
    <xf numFmtId="9" fontId="27" fillId="0" borderId="34" xfId="1" applyFont="1" applyBorder="1" applyAlignment="1">
      <alignment horizontal="center" vertical="center" wrapText="1"/>
    </xf>
    <xf numFmtId="0" fontId="27" fillId="0" borderId="89" xfId="0" applyFont="1" applyBorder="1" applyAlignment="1">
      <alignment horizontal="center" vertical="center" wrapText="1"/>
    </xf>
    <xf numFmtId="0" fontId="28" fillId="0" borderId="85" xfId="0" applyFont="1" applyBorder="1" applyAlignment="1">
      <alignment horizontal="center" vertical="center" textRotation="91" wrapText="1"/>
    </xf>
    <xf numFmtId="0" fontId="28" fillId="0" borderId="55" xfId="0" applyFont="1" applyBorder="1" applyAlignment="1">
      <alignment horizontal="center" vertical="center" textRotation="91" wrapText="1"/>
    </xf>
    <xf numFmtId="1" fontId="27" fillId="0" borderId="34" xfId="0" applyNumberFormat="1"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textRotation="90" wrapText="1"/>
    </xf>
    <xf numFmtId="0" fontId="27" fillId="0" borderId="80" xfId="0" applyFont="1" applyBorder="1" applyAlignment="1">
      <alignment horizontal="center" vertical="center" wrapText="1"/>
    </xf>
    <xf numFmtId="0" fontId="27" fillId="0" borderId="81" xfId="0" applyFont="1" applyBorder="1" applyAlignment="1">
      <alignment horizontal="center" vertical="center" wrapText="1"/>
    </xf>
    <xf numFmtId="0" fontId="27" fillId="0" borderId="82" xfId="0" applyFont="1" applyBorder="1" applyAlignment="1">
      <alignment horizontal="center" vertical="center" wrapText="1"/>
    </xf>
    <xf numFmtId="0" fontId="28" fillId="0" borderId="85" xfId="0" applyFont="1" applyBorder="1" applyAlignment="1">
      <alignment horizontal="center" vertical="center" textRotation="90" wrapText="1"/>
    </xf>
    <xf numFmtId="0" fontId="28" fillId="0" borderId="55" xfId="0" applyFont="1" applyBorder="1" applyAlignment="1">
      <alignment horizontal="center" vertical="center" textRotation="90" wrapText="1"/>
    </xf>
    <xf numFmtId="1" fontId="27" fillId="0" borderId="80" xfId="0" applyNumberFormat="1" applyFont="1" applyBorder="1" applyAlignment="1">
      <alignment horizontal="center" vertical="center" wrapText="1"/>
    </xf>
    <xf numFmtId="1" fontId="27" fillId="0" borderId="81" xfId="0" applyNumberFormat="1" applyFont="1" applyBorder="1" applyAlignment="1">
      <alignment horizontal="center" vertical="center" wrapText="1"/>
    </xf>
    <xf numFmtId="1" fontId="27" fillId="0" borderId="82" xfId="0" applyNumberFormat="1" applyFont="1" applyBorder="1" applyAlignment="1">
      <alignment horizontal="center" vertical="center" wrapText="1"/>
    </xf>
    <xf numFmtId="0" fontId="18" fillId="0" borderId="11" xfId="0" applyFont="1" applyBorder="1" applyAlignment="1">
      <alignment horizontal="justify"/>
    </xf>
    <xf numFmtId="0" fontId="18" fillId="0" borderId="12" xfId="0" applyFont="1" applyBorder="1" applyAlignment="1">
      <alignment horizontal="justify"/>
    </xf>
    <xf numFmtId="0" fontId="27" fillId="0" borderId="32"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31" xfId="0" applyFont="1" applyBorder="1" applyAlignment="1">
      <alignment horizontal="center" vertical="center" wrapText="1"/>
    </xf>
    <xf numFmtId="0" fontId="28" fillId="0" borderId="56" xfId="0" applyFont="1" applyBorder="1" applyAlignment="1">
      <alignment horizontal="center" vertical="center" wrapText="1"/>
    </xf>
    <xf numFmtId="0" fontId="28" fillId="3" borderId="76"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7" fillId="3" borderId="83" xfId="0" applyFont="1" applyFill="1" applyBorder="1" applyAlignment="1">
      <alignment horizontal="center" vertical="center" wrapText="1"/>
    </xf>
    <xf numFmtId="0" fontId="27" fillId="0" borderId="69"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28" xfId="0" applyFont="1" applyBorder="1" applyAlignment="1">
      <alignment horizontal="center" vertical="center" wrapText="1"/>
    </xf>
    <xf numFmtId="0" fontId="27" fillId="0" borderId="21"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2" xfId="0" applyFont="1" applyBorder="1" applyAlignment="1">
      <alignment horizontal="center" vertical="center" textRotation="90" wrapText="1"/>
    </xf>
    <xf numFmtId="0" fontId="28" fillId="0" borderId="23" xfId="0" applyFont="1" applyBorder="1" applyAlignment="1">
      <alignment horizontal="center" vertical="center" wrapText="1"/>
    </xf>
    <xf numFmtId="0" fontId="28" fillId="0" borderId="23" xfId="0" applyFont="1" applyBorder="1" applyAlignment="1">
      <alignment horizontal="center" vertical="center" textRotation="90" wrapText="1"/>
    </xf>
    <xf numFmtId="0" fontId="28" fillId="0" borderId="49" xfId="0" applyFont="1" applyBorder="1" applyAlignment="1">
      <alignment horizontal="center" vertical="center" textRotation="90" wrapText="1"/>
    </xf>
    <xf numFmtId="0" fontId="28" fillId="0" borderId="62" xfId="0" applyFont="1" applyBorder="1" applyAlignment="1">
      <alignment horizontal="center" vertical="center" wrapText="1"/>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27" fillId="0" borderId="44" xfId="0" applyNumberFormat="1" applyFont="1" applyBorder="1" applyAlignment="1">
      <alignment horizontal="center" vertical="center" wrapText="1"/>
    </xf>
    <xf numFmtId="9" fontId="27" fillId="0" borderId="85"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9" fontId="27" fillId="0" borderId="52" xfId="0" applyNumberFormat="1" applyFont="1" applyBorder="1" applyAlignment="1">
      <alignment horizontal="center" vertical="center" wrapText="1"/>
    </xf>
    <xf numFmtId="0" fontId="27" fillId="0" borderId="31" xfId="0" applyFont="1" applyBorder="1" applyAlignment="1" applyProtection="1">
      <alignment horizontal="center" vertical="center" wrapText="1"/>
      <protection locked="0"/>
    </xf>
    <xf numFmtId="0" fontId="27" fillId="0" borderId="49" xfId="0" applyFont="1" applyBorder="1" applyAlignment="1" applyProtection="1">
      <alignment horizontal="center" vertical="center" wrapText="1"/>
      <protection locked="0"/>
    </xf>
    <xf numFmtId="0" fontId="27" fillId="0" borderId="80" xfId="0" applyFont="1" applyBorder="1" applyAlignment="1" applyProtection="1">
      <alignment horizontal="center" vertical="center" wrapText="1"/>
      <protection locked="0"/>
    </xf>
    <xf numFmtId="0" fontId="27" fillId="0" borderId="81" xfId="0" applyFont="1" applyBorder="1" applyAlignment="1" applyProtection="1">
      <alignment horizontal="center" vertical="center" wrapText="1"/>
      <protection locked="0"/>
    </xf>
    <xf numFmtId="0" fontId="27" fillId="0" borderId="82" xfId="0" applyFont="1" applyBorder="1" applyAlignment="1" applyProtection="1">
      <alignment horizontal="center" vertical="center" wrapText="1"/>
      <protection locked="0"/>
    </xf>
    <xf numFmtId="9" fontId="27" fillId="0" borderId="80" xfId="1" applyFont="1" applyBorder="1" applyAlignment="1" applyProtection="1">
      <alignment horizontal="center" vertical="center" wrapText="1"/>
      <protection locked="0"/>
    </xf>
    <xf numFmtId="9" fontId="27" fillId="0" borderId="81" xfId="1" applyFont="1" applyBorder="1" applyAlignment="1" applyProtection="1">
      <alignment horizontal="center" vertical="center" wrapText="1"/>
      <protection locked="0"/>
    </xf>
    <xf numFmtId="9" fontId="27" fillId="0" borderId="82" xfId="1" applyFont="1" applyBorder="1" applyAlignment="1" applyProtection="1">
      <alignment horizontal="center" vertical="center" wrapText="1"/>
      <protection locked="0"/>
    </xf>
    <xf numFmtId="0" fontId="27" fillId="0" borderId="38" xfId="0" applyFont="1" applyBorder="1" applyAlignment="1">
      <alignment horizontal="center" vertical="center" wrapText="1"/>
    </xf>
    <xf numFmtId="0" fontId="28" fillId="3" borderId="6" xfId="0" applyFont="1" applyFill="1" applyBorder="1" applyAlignment="1">
      <alignment horizontal="center" vertical="center" wrapText="1"/>
    </xf>
    <xf numFmtId="0" fontId="27" fillId="3" borderId="58" xfId="0" applyFont="1" applyFill="1" applyBorder="1" applyAlignment="1">
      <alignment horizontal="center" vertical="center" wrapText="1"/>
    </xf>
    <xf numFmtId="0" fontId="28" fillId="0" borderId="22"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7" fillId="0" borderId="77"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6" xfId="0" applyFont="1" applyBorder="1" applyAlignment="1">
      <alignment horizontal="center" vertical="center" wrapText="1"/>
    </xf>
    <xf numFmtId="1" fontId="27" fillId="0" borderId="63" xfId="0" applyNumberFormat="1" applyFont="1" applyBorder="1" applyAlignment="1">
      <alignment horizontal="center" vertical="center"/>
    </xf>
    <xf numFmtId="1" fontId="27" fillId="0" borderId="29" xfId="0" applyNumberFormat="1" applyFont="1" applyBorder="1" applyAlignment="1">
      <alignment horizontal="center" vertical="center"/>
    </xf>
    <xf numFmtId="1" fontId="27" fillId="0" borderId="42" xfId="0" applyNumberFormat="1" applyFont="1" applyBorder="1" applyAlignment="1">
      <alignment horizontal="center" vertical="center"/>
    </xf>
    <xf numFmtId="0" fontId="27" fillId="0" borderId="74" xfId="0" applyFont="1" applyBorder="1" applyAlignment="1">
      <alignment horizontal="center" vertical="center" wrapText="1"/>
    </xf>
    <xf numFmtId="0" fontId="28" fillId="0" borderId="91" xfId="0" applyFont="1" applyBorder="1" applyAlignment="1">
      <alignment horizontal="center" vertical="center" wrapText="1"/>
    </xf>
    <xf numFmtId="0" fontId="28" fillId="0" borderId="93" xfId="0" applyFont="1" applyBorder="1" applyAlignment="1">
      <alignment horizontal="center" vertical="center" wrapText="1"/>
    </xf>
    <xf numFmtId="0" fontId="28" fillId="0" borderId="77" xfId="0" applyFont="1" applyBorder="1" applyAlignment="1">
      <alignment horizontal="center" vertical="center" textRotation="90" wrapText="1"/>
    </xf>
    <xf numFmtId="0" fontId="28" fillId="0" borderId="14" xfId="0" applyFont="1" applyBorder="1" applyAlignment="1">
      <alignment horizontal="center" vertical="center" textRotation="90" wrapText="1"/>
    </xf>
    <xf numFmtId="0" fontId="28" fillId="0" borderId="86" xfId="0" applyFont="1" applyBorder="1" applyAlignment="1">
      <alignment horizontal="center" vertical="center" textRotation="90" wrapText="1"/>
    </xf>
    <xf numFmtId="0" fontId="27" fillId="0" borderId="60" xfId="0" applyFont="1" applyBorder="1" applyAlignment="1" applyProtection="1">
      <alignment horizontal="center" vertical="center" wrapText="1"/>
      <protection locked="0"/>
    </xf>
    <xf numFmtId="0" fontId="27" fillId="0" borderId="32" xfId="0" applyFont="1" applyBorder="1" applyAlignment="1" applyProtection="1">
      <alignment horizontal="center" vertical="center" wrapText="1"/>
      <protection locked="0"/>
    </xf>
    <xf numFmtId="0" fontId="27" fillId="0" borderId="56" xfId="0" applyFont="1" applyBorder="1" applyAlignment="1" applyProtection="1">
      <alignment horizontal="center" vertical="center" wrapText="1"/>
      <protection locked="0"/>
    </xf>
    <xf numFmtId="0" fontId="30" fillId="0" borderId="59" xfId="0" applyFont="1" applyBorder="1" applyAlignment="1" applyProtection="1">
      <alignment horizontal="center" vertical="center" wrapText="1"/>
      <protection locked="0"/>
    </xf>
    <xf numFmtId="0" fontId="30" fillId="0" borderId="65" xfId="0" applyFont="1" applyBorder="1" applyAlignment="1" applyProtection="1">
      <alignment horizontal="center" vertical="center" wrapText="1"/>
      <protection locked="0"/>
    </xf>
    <xf numFmtId="0" fontId="30" fillId="0" borderId="43" xfId="0" applyFont="1" applyBorder="1" applyAlignment="1" applyProtection="1">
      <alignment horizontal="center" vertical="center" wrapText="1"/>
      <protection locked="0"/>
    </xf>
    <xf numFmtId="10" fontId="30" fillId="0" borderId="60" xfId="0" applyNumberFormat="1" applyFont="1" applyBorder="1" applyAlignment="1" applyProtection="1">
      <alignment horizontal="center" vertical="center" wrapText="1"/>
      <protection locked="0"/>
    </xf>
    <xf numFmtId="10" fontId="30" fillId="0" borderId="41" xfId="0" applyNumberFormat="1" applyFont="1" applyBorder="1" applyAlignment="1" applyProtection="1">
      <alignment horizontal="center" vertical="center" wrapText="1"/>
      <protection locked="0"/>
    </xf>
    <xf numFmtId="10" fontId="30" fillId="0" borderId="45" xfId="0" applyNumberFormat="1" applyFont="1" applyBorder="1" applyAlignment="1" applyProtection="1">
      <alignment horizontal="center" vertical="center" wrapText="1"/>
      <protection locked="0"/>
    </xf>
    <xf numFmtId="0" fontId="27" fillId="0" borderId="59" xfId="0" applyFont="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7" fillId="0" borderId="43" xfId="0" applyFont="1" applyBorder="1" applyAlignment="1" applyProtection="1">
      <alignment horizontal="center" vertical="center" wrapText="1"/>
      <protection locked="0"/>
    </xf>
    <xf numFmtId="0" fontId="27" fillId="0" borderId="45" xfId="0" applyFont="1" applyBorder="1" applyAlignment="1" applyProtection="1">
      <alignment horizontal="center" vertical="center" wrapText="1"/>
      <protection locked="0"/>
    </xf>
    <xf numFmtId="1" fontId="21" fillId="0" borderId="31" xfId="0" applyNumberFormat="1" applyFont="1" applyBorder="1" applyAlignment="1">
      <alignment horizontal="center" vertical="center" wrapText="1"/>
    </xf>
    <xf numFmtId="1" fontId="21" fillId="0" borderId="44" xfId="0" applyNumberFormat="1" applyFont="1" applyBorder="1" applyAlignment="1">
      <alignment horizontal="center" vertical="center" wrapText="1"/>
    </xf>
    <xf numFmtId="0" fontId="17" fillId="0" borderId="69" xfId="0" applyFont="1" applyBorder="1" applyAlignment="1">
      <alignment horizontal="center" vertical="center" textRotation="90" wrapText="1"/>
    </xf>
    <xf numFmtId="0" fontId="17" fillId="0" borderId="31" xfId="0" applyFont="1" applyBorder="1" applyAlignment="1">
      <alignment horizontal="center" vertical="center" textRotation="90" wrapText="1"/>
    </xf>
    <xf numFmtId="0" fontId="17" fillId="0" borderId="49" xfId="0" applyFont="1" applyBorder="1" applyAlignment="1">
      <alignment horizontal="center" vertical="center" textRotation="90" wrapText="1"/>
    </xf>
    <xf numFmtId="9" fontId="16" fillId="0" borderId="31" xfId="0" applyNumberFormat="1" applyFont="1" applyBorder="1" applyAlignment="1">
      <alignment horizontal="center" vertical="center" wrapText="1"/>
    </xf>
    <xf numFmtId="9" fontId="16" fillId="0" borderId="44"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59" xfId="0" applyFont="1" applyBorder="1" applyAlignment="1">
      <alignment horizontal="center" vertical="center" textRotation="90" wrapText="1"/>
    </xf>
    <xf numFmtId="0" fontId="17" fillId="0" borderId="30" xfId="0" applyFont="1" applyBorder="1" applyAlignment="1">
      <alignment horizontal="center" vertical="center" textRotation="90" wrapText="1"/>
    </xf>
    <xf numFmtId="0" fontId="17" fillId="0" borderId="57" xfId="0" applyFont="1" applyBorder="1" applyAlignment="1">
      <alignment horizontal="center" vertical="center" textRotation="90" wrapText="1"/>
    </xf>
    <xf numFmtId="0" fontId="17" fillId="0" borderId="62"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9" xfId="0" applyFont="1" applyBorder="1" applyAlignment="1">
      <alignment horizontal="center" vertical="center" wrapText="1"/>
    </xf>
    <xf numFmtId="0" fontId="21" fillId="10" borderId="30" xfId="0" applyFont="1" applyFill="1" applyBorder="1" applyAlignment="1">
      <alignment horizontal="center" vertical="center" wrapText="1"/>
    </xf>
    <xf numFmtId="0" fontId="21" fillId="10" borderId="43"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0" fontId="17" fillId="2" borderId="11" xfId="0"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6" fillId="0" borderId="10" xfId="0" applyFont="1" applyBorder="1" applyAlignment="1">
      <alignment horizontal="center" vertical="justify"/>
    </xf>
    <xf numFmtId="0" fontId="16" fillId="0" borderId="11" xfId="0" applyFont="1" applyBorder="1" applyAlignment="1">
      <alignment horizontal="center" vertical="justify"/>
    </xf>
    <xf numFmtId="0" fontId="16" fillId="0" borderId="12" xfId="0" applyFont="1" applyBorder="1" applyAlignment="1">
      <alignment horizontal="center" vertical="justify"/>
    </xf>
    <xf numFmtId="0" fontId="17" fillId="0" borderId="1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8" fillId="0" borderId="11" xfId="0" applyFont="1" applyBorder="1" applyAlignment="1">
      <alignment horizontal="center"/>
    </xf>
    <xf numFmtId="0" fontId="18" fillId="0" borderId="12" xfId="0" applyFont="1" applyBorder="1" applyAlignment="1">
      <alignment horizontal="center"/>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9" fillId="3" borderId="6"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58" xfId="0" applyFont="1" applyFill="1" applyBorder="1" applyAlignment="1">
      <alignment horizontal="center" vertical="center" wrapText="1"/>
    </xf>
    <xf numFmtId="0" fontId="17" fillId="0" borderId="60" xfId="0" applyFont="1" applyBorder="1" applyAlignment="1">
      <alignment horizontal="center" vertical="center" textRotation="90" wrapText="1"/>
    </xf>
    <xf numFmtId="0" fontId="17" fillId="0" borderId="32" xfId="0" applyFont="1" applyBorder="1" applyAlignment="1">
      <alignment horizontal="center" vertical="center" textRotation="90" wrapText="1"/>
    </xf>
    <xf numFmtId="0" fontId="17" fillId="0" borderId="56" xfId="0" applyFont="1" applyBorder="1" applyAlignment="1">
      <alignment horizontal="center" vertical="center" textRotation="90" wrapText="1"/>
    </xf>
    <xf numFmtId="0" fontId="17" fillId="0" borderId="5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6"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17" fillId="0" borderId="90"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22" fillId="0" borderId="4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9" xfId="0" applyFont="1" applyBorder="1" applyAlignment="1">
      <alignment horizontal="center" vertical="center" wrapText="1"/>
    </xf>
    <xf numFmtId="0" fontId="16" fillId="0" borderId="63" xfId="0" applyFont="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42"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100" xfId="0" applyFont="1" applyBorder="1" applyAlignment="1" applyProtection="1">
      <alignment horizontal="center" vertical="center" wrapText="1"/>
      <protection locked="0"/>
    </xf>
    <xf numFmtId="10" fontId="16" fillId="0" borderId="80" xfId="0" applyNumberFormat="1" applyFont="1" applyBorder="1" applyAlignment="1" applyProtection="1">
      <alignment horizontal="center" vertical="center" wrapText="1"/>
      <protection locked="0"/>
    </xf>
    <xf numFmtId="0" fontId="16" fillId="0" borderId="81" xfId="0" applyFont="1" applyBorder="1" applyAlignment="1" applyProtection="1">
      <alignment horizontal="center" vertical="center" wrapText="1"/>
      <protection locked="0"/>
    </xf>
    <xf numFmtId="0" fontId="16" fillId="0" borderId="82" xfId="0" applyFont="1" applyBorder="1" applyAlignment="1" applyProtection="1">
      <alignment horizontal="center" vertical="center" wrapText="1"/>
      <protection locked="0"/>
    </xf>
    <xf numFmtId="0" fontId="22" fillId="0" borderId="21"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6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6" xfId="0" applyFont="1" applyBorder="1" applyAlignment="1">
      <alignment horizontal="center" vertical="center" wrapText="1"/>
    </xf>
    <xf numFmtId="0" fontId="22" fillId="0" borderId="40" xfId="0" applyFont="1" applyBorder="1" applyAlignment="1">
      <alignment horizontal="center" vertical="center" wrapText="1"/>
    </xf>
    <xf numFmtId="1" fontId="27" fillId="0" borderId="0" xfId="0" applyNumberFormat="1" applyFont="1" applyAlignment="1">
      <alignment vertical="center" wrapText="1"/>
    </xf>
    <xf numFmtId="0" fontId="39" fillId="0" borderId="0" xfId="0" applyFont="1" applyBorder="1" applyAlignment="1">
      <alignment horizontal="center" vertical="center" wrapText="1"/>
    </xf>
    <xf numFmtId="9" fontId="0" fillId="0" borderId="0" xfId="0" applyNumberFormat="1" applyBorder="1" applyAlignment="1">
      <alignment horizontal="center" vertical="center"/>
    </xf>
    <xf numFmtId="0" fontId="0" fillId="0" borderId="0" xfId="0" applyBorder="1" applyAlignment="1">
      <alignment horizontal="center" vertical="center"/>
    </xf>
    <xf numFmtId="9" fontId="0" fillId="0" borderId="0" xfId="1" applyFont="1" applyBorder="1" applyAlignment="1">
      <alignment horizontal="center" vertical="center"/>
    </xf>
    <xf numFmtId="10" fontId="0" fillId="0" borderId="0" xfId="0" applyNumberFormat="1" applyBorder="1" applyAlignment="1">
      <alignment horizontal="center" vertical="center"/>
    </xf>
    <xf numFmtId="170" fontId="0" fillId="0" borderId="0" xfId="0" applyNumberFormat="1" applyBorder="1" applyAlignment="1">
      <alignment vertical="center"/>
    </xf>
    <xf numFmtId="170" fontId="36" fillId="0" borderId="97" xfId="0" applyNumberFormat="1" applyFont="1" applyBorder="1" applyAlignment="1">
      <alignment horizontal="center" vertical="center" wrapText="1"/>
    </xf>
    <xf numFmtId="9" fontId="36" fillId="0" borderId="99" xfId="0" applyNumberFormat="1" applyFont="1" applyBorder="1" applyAlignment="1">
      <alignment horizontal="center" vertical="center" wrapText="1"/>
    </xf>
    <xf numFmtId="170" fontId="36" fillId="0" borderId="98" xfId="0" applyNumberFormat="1" applyFont="1" applyBorder="1" applyAlignment="1">
      <alignment horizontal="center" vertical="center" wrapText="1"/>
    </xf>
    <xf numFmtId="9" fontId="36" fillId="0" borderId="77" xfId="1" applyFont="1" applyBorder="1" applyAlignment="1">
      <alignment horizontal="center" vertical="center" wrapText="1"/>
    </xf>
    <xf numFmtId="9" fontId="36" fillId="0" borderId="14" xfId="1" applyFont="1" applyBorder="1" applyAlignment="1">
      <alignment horizontal="center" vertical="center" wrapText="1"/>
    </xf>
    <xf numFmtId="9" fontId="36" fillId="0" borderId="46" xfId="1" applyFont="1" applyBorder="1" applyAlignment="1">
      <alignment horizontal="center" vertical="center" wrapText="1"/>
    </xf>
    <xf numFmtId="9" fontId="36" fillId="0" borderId="63" xfId="1" applyFont="1" applyBorder="1" applyAlignment="1">
      <alignment horizontal="center" vertical="center" wrapText="1"/>
    </xf>
    <xf numFmtId="9" fontId="36" fillId="0" borderId="29" xfId="1" applyFont="1" applyBorder="1" applyAlignment="1">
      <alignment horizontal="center" vertical="center" wrapText="1"/>
    </xf>
    <xf numFmtId="164" fontId="30" fillId="0" borderId="48" xfId="38" applyFont="1" applyBorder="1" applyAlignment="1" applyProtection="1">
      <alignment horizontal="center" vertical="center" wrapText="1"/>
      <protection locked="0"/>
    </xf>
    <xf numFmtId="1" fontId="36" fillId="14" borderId="30" xfId="0" applyNumberFormat="1" applyFont="1" applyFill="1" applyBorder="1" applyAlignment="1">
      <alignment horizontal="center" vertical="center" wrapText="1"/>
    </xf>
    <xf numFmtId="0" fontId="36" fillId="14" borderId="31" xfId="0" applyFont="1" applyFill="1" applyBorder="1" applyAlignment="1">
      <alignment horizontal="center" vertical="center" wrapText="1"/>
    </xf>
    <xf numFmtId="9" fontId="36" fillId="14" borderId="74" xfId="0" applyNumberFormat="1" applyFont="1" applyFill="1" applyBorder="1" applyAlignment="1">
      <alignment horizontal="center" vertical="center" wrapText="1"/>
    </xf>
    <xf numFmtId="170" fontId="36" fillId="14" borderId="75" xfId="0" applyNumberFormat="1" applyFont="1" applyFill="1" applyBorder="1" applyAlignment="1">
      <alignment horizontal="center" vertical="center" wrapText="1"/>
    </xf>
    <xf numFmtId="0" fontId="36" fillId="14" borderId="31" xfId="1" applyNumberFormat="1" applyFont="1" applyFill="1" applyBorder="1" applyAlignment="1">
      <alignment horizontal="center" vertical="center" wrapText="1"/>
    </xf>
    <xf numFmtId="9" fontId="36" fillId="14" borderId="31" xfId="0" applyNumberFormat="1" applyFont="1" applyFill="1" applyBorder="1" applyAlignment="1">
      <alignment horizontal="center" vertical="center" wrapText="1"/>
    </xf>
    <xf numFmtId="9" fontId="36" fillId="14" borderId="10" xfId="0" applyNumberFormat="1" applyFont="1" applyFill="1" applyBorder="1" applyAlignment="1">
      <alignment horizontal="center" vertical="center" wrapText="1"/>
    </xf>
    <xf numFmtId="10" fontId="36" fillId="14" borderId="10" xfId="0" applyNumberFormat="1" applyFont="1" applyFill="1" applyBorder="1" applyAlignment="1">
      <alignment vertical="center" wrapText="1"/>
    </xf>
    <xf numFmtId="170" fontId="36" fillId="14" borderId="63" xfId="0" applyNumberFormat="1" applyFont="1" applyFill="1" applyBorder="1" applyAlignment="1">
      <alignment horizontal="center" vertical="center" wrapText="1"/>
    </xf>
    <xf numFmtId="0" fontId="0" fillId="14" borderId="0" xfId="0" applyFill="1"/>
    <xf numFmtId="0" fontId="39" fillId="0" borderId="97" xfId="0" applyFont="1" applyBorder="1" applyAlignment="1">
      <alignment horizontal="center" vertical="center" wrapText="1"/>
    </xf>
    <xf numFmtId="0" fontId="39" fillId="0" borderId="88" xfId="0" applyFont="1" applyBorder="1" applyAlignment="1">
      <alignment horizontal="center" vertical="center" wrapText="1"/>
    </xf>
    <xf numFmtId="0" fontId="0" fillId="0" borderId="75" xfId="0" applyBorder="1" applyAlignment="1">
      <alignment horizontal="center" vertical="center" wrapText="1"/>
    </xf>
    <xf numFmtId="0" fontId="0" fillId="0" borderId="91" xfId="0" applyBorder="1" applyAlignment="1">
      <alignment horizontal="center" vertical="center" wrapText="1"/>
    </xf>
    <xf numFmtId="0" fontId="0" fillId="0" borderId="93" xfId="0" applyBorder="1" applyAlignment="1">
      <alignment horizontal="center" vertical="center" wrapText="1"/>
    </xf>
    <xf numFmtId="0" fontId="0" fillId="0" borderId="94" xfId="0" applyBorder="1" applyAlignment="1">
      <alignment vertical="center" wrapText="1"/>
    </xf>
    <xf numFmtId="0" fontId="0" fillId="0" borderId="96" xfId="0" applyBorder="1" applyAlignment="1">
      <alignment horizontal="center" vertical="center" wrapText="1"/>
    </xf>
    <xf numFmtId="9" fontId="0" fillId="0" borderId="63" xfId="0" applyNumberFormat="1" applyBorder="1" applyAlignment="1">
      <alignment horizontal="center" vertical="center"/>
    </xf>
    <xf numFmtId="0" fontId="0" fillId="0" borderId="29" xfId="0" applyBorder="1" applyAlignment="1">
      <alignment horizontal="center" vertical="center"/>
    </xf>
    <xf numFmtId="0" fontId="0" fillId="0" borderId="42" xfId="0" applyBorder="1" applyAlignment="1">
      <alignment horizontal="center" vertical="center"/>
    </xf>
    <xf numFmtId="9" fontId="0" fillId="0" borderId="98" xfId="0" applyNumberFormat="1" applyBorder="1" applyAlignment="1">
      <alignment horizontal="center" vertical="center"/>
    </xf>
    <xf numFmtId="9" fontId="0" fillId="0" borderId="63" xfId="1" applyFont="1" applyBorder="1" applyAlignment="1">
      <alignment horizontal="center" vertical="center"/>
    </xf>
    <xf numFmtId="9" fontId="0" fillId="0" borderId="29" xfId="1" applyFont="1" applyBorder="1" applyAlignment="1">
      <alignment horizontal="center" vertical="center"/>
    </xf>
    <xf numFmtId="9" fontId="0" fillId="0" borderId="42" xfId="1" applyFont="1" applyBorder="1" applyAlignment="1">
      <alignment horizontal="center" vertical="center"/>
    </xf>
    <xf numFmtId="10" fontId="0" fillId="0" borderId="63" xfId="0" applyNumberFormat="1" applyBorder="1" applyAlignment="1">
      <alignment horizontal="center" vertical="center"/>
    </xf>
    <xf numFmtId="9" fontId="0" fillId="0" borderId="68" xfId="1" applyFont="1" applyBorder="1" applyAlignment="1">
      <alignment horizontal="center" vertical="center"/>
    </xf>
    <xf numFmtId="170" fontId="0" fillId="0" borderId="98" xfId="0" applyNumberFormat="1" applyBorder="1" applyAlignment="1">
      <alignment vertical="center"/>
    </xf>
  </cellXfs>
  <cellStyles count="39">
    <cellStyle name="Comma 2" xfId="21"/>
    <cellStyle name="Currency 2" xfId="24"/>
    <cellStyle name="Euro" xfId="23"/>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Millares" xfId="37" builtinId="3"/>
    <cellStyle name="Moneda [0]" xfId="38" builtinId="7"/>
    <cellStyle name="Normal" xfId="0" builtinId="0"/>
    <cellStyle name="Normal 2" xfId="20"/>
    <cellStyle name="Percent 2" xfId="22"/>
    <cellStyle name="Porcentaje" xfId="1" builtinId="5"/>
  </cellStyles>
  <dxfs count="422">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C7CE"/>
        </patternFill>
      </fill>
    </dxf>
    <dxf>
      <font>
        <color auto="1"/>
      </font>
      <fill>
        <patternFill>
          <bgColor rgb="FF54D64E"/>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00CC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00CC00"/>
        </patternFill>
      </fill>
    </dxf>
    <dxf>
      <fill>
        <patternFill>
          <bgColor rgb="FFFFFF00"/>
        </patternFill>
      </fill>
    </dxf>
    <dxf>
      <fill>
        <patternFill>
          <bgColor rgb="FFFF0000"/>
        </patternFill>
      </fill>
    </dxf>
    <dxf>
      <fill>
        <patternFill>
          <bgColor rgb="FF4ACE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4ACE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ont>
        <color auto="1"/>
      </font>
      <fill>
        <patternFill>
          <bgColor rgb="FF54D64E"/>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ont>
        <color auto="1"/>
      </font>
      <fill>
        <patternFill>
          <bgColor rgb="FF54D64E"/>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solid">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colors>
    <mruColors>
      <color rgb="FF00CC00"/>
      <color rgb="FF57D751"/>
      <color rgb="FF6CDC66"/>
      <color rgb="FF4ACE50"/>
      <color rgb="FF41D23A"/>
      <color rgb="FF54D64E"/>
      <color rgb="FF83C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802820</xdr:colOff>
      <xdr:row>0</xdr:row>
      <xdr:rowOff>57829</xdr:rowOff>
    </xdr:from>
    <xdr:to>
      <xdr:col>2</xdr:col>
      <xdr:colOff>326570</xdr:colOff>
      <xdr:row>3</xdr:row>
      <xdr:rowOff>353787</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59961640-DB69-43B2-AC5B-132CE0BAD07C}"/>
            </a:ext>
          </a:extLst>
        </xdr:cNvPr>
        <xdr:cNvPicPr/>
      </xdr:nvPicPr>
      <xdr:blipFill>
        <a:blip xmlns:r="http://schemas.openxmlformats.org/officeDocument/2006/relationships" r:embed="rId1" cstate="print"/>
        <a:srcRect/>
        <a:stretch>
          <a:fillRect/>
        </a:stretch>
      </xdr:blipFill>
      <xdr:spPr bwMode="auto">
        <a:xfrm>
          <a:off x="1673677" y="57829"/>
          <a:ext cx="1605643" cy="135731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802820</xdr:colOff>
      <xdr:row>0</xdr:row>
      <xdr:rowOff>57829</xdr:rowOff>
    </xdr:from>
    <xdr:to>
      <xdr:col>0</xdr:col>
      <xdr:colOff>2403020</xdr:colOff>
      <xdr:row>6</xdr:row>
      <xdr:rowOff>220437</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B977A5F1-D877-4536-B0B6-9AE8F279A1BF}"/>
            </a:ext>
          </a:extLst>
        </xdr:cNvPr>
        <xdr:cNvPicPr/>
      </xdr:nvPicPr>
      <xdr:blipFill>
        <a:blip xmlns:r="http://schemas.openxmlformats.org/officeDocument/2006/relationships" r:embed="rId1" cstate="print"/>
        <a:srcRect/>
        <a:stretch>
          <a:fillRect/>
        </a:stretch>
      </xdr:blipFill>
      <xdr:spPr bwMode="auto">
        <a:xfrm>
          <a:off x="1679120" y="57829"/>
          <a:ext cx="1600200" cy="135323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640772</xdr:colOff>
      <xdr:row>0</xdr:row>
      <xdr:rowOff>69273</xdr:rowOff>
    </xdr:from>
    <xdr:to>
      <xdr:col>0</xdr:col>
      <xdr:colOff>2240972</xdr:colOff>
      <xdr:row>7</xdr:row>
      <xdr:rowOff>110654</xdr:rowOff>
    </xdr:to>
    <xdr:pic>
      <xdr:nvPicPr>
        <xdr:cNvPr id="3" name="Imagen 2" descr="C:\Documents and Settings\Yanina\Mis documentos\Downloads\LOGO-OFICIAL-Proteccion-Animal-Bogota 28-11-2018.png">
          <a:extLst>
            <a:ext uri="{FF2B5EF4-FFF2-40B4-BE49-F238E27FC236}">
              <a16:creationId xmlns:a16="http://schemas.microsoft.com/office/drawing/2014/main" id="{AE50A028-3737-45FF-A076-47F9343F01E3}"/>
            </a:ext>
          </a:extLst>
        </xdr:cNvPr>
        <xdr:cNvPicPr/>
      </xdr:nvPicPr>
      <xdr:blipFill>
        <a:blip xmlns:r="http://schemas.openxmlformats.org/officeDocument/2006/relationships" r:embed="rId1" cstate="print"/>
        <a:srcRect/>
        <a:stretch>
          <a:fillRect/>
        </a:stretch>
      </xdr:blipFill>
      <xdr:spPr bwMode="auto">
        <a:xfrm>
          <a:off x="640772" y="69273"/>
          <a:ext cx="1600200" cy="151342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1212272</xdr:colOff>
      <xdr:row>0</xdr:row>
      <xdr:rowOff>19483</xdr:rowOff>
    </xdr:from>
    <xdr:to>
      <xdr:col>4</xdr:col>
      <xdr:colOff>103910</xdr:colOff>
      <xdr:row>2</xdr:row>
      <xdr:rowOff>329046</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45782364-7A0F-4382-9977-B9E5DDB1B09E}"/>
            </a:ext>
          </a:extLst>
        </xdr:cNvPr>
        <xdr:cNvPicPr/>
      </xdr:nvPicPr>
      <xdr:blipFill>
        <a:blip xmlns:r="http://schemas.openxmlformats.org/officeDocument/2006/relationships" r:embed="rId1" cstate="print"/>
        <a:srcRect/>
        <a:stretch>
          <a:fillRect/>
        </a:stretch>
      </xdr:blipFill>
      <xdr:spPr bwMode="auto">
        <a:xfrm>
          <a:off x="4571999" y="19483"/>
          <a:ext cx="969820" cy="100229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261933</xdr:colOff>
      <xdr:row>0</xdr:row>
      <xdr:rowOff>11906</xdr:rowOff>
    </xdr:from>
    <xdr:to>
      <xdr:col>2</xdr:col>
      <xdr:colOff>892968</xdr:colOff>
      <xdr:row>3</xdr:row>
      <xdr:rowOff>11906</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6EC6F063-FDB4-4349-99A2-302B9133FFE7}"/>
            </a:ext>
          </a:extLst>
        </xdr:cNvPr>
        <xdr:cNvPicPr/>
      </xdr:nvPicPr>
      <xdr:blipFill>
        <a:blip xmlns:r="http://schemas.openxmlformats.org/officeDocument/2006/relationships" r:embed="rId1" cstate="print"/>
        <a:srcRect/>
        <a:stretch>
          <a:fillRect/>
        </a:stretch>
      </xdr:blipFill>
      <xdr:spPr bwMode="auto">
        <a:xfrm>
          <a:off x="1369214" y="11906"/>
          <a:ext cx="1023942" cy="1071563"/>
        </a:xfrm>
        <a:prstGeom prst="rect">
          <a:avLst/>
        </a:prstGeom>
        <a:noFill/>
        <a:ln w="9525">
          <a:noFill/>
          <a:miter lim="800000"/>
          <a:headEnd/>
          <a:tailEnd/>
        </a:ln>
      </xdr:spPr>
    </xdr:pic>
    <xdr:clientData/>
  </xdr:twoCellAnchor>
  <xdr:twoCellAnchor editAs="oneCell">
    <xdr:from>
      <xdr:col>1</xdr:col>
      <xdr:colOff>261933</xdr:colOff>
      <xdr:row>0</xdr:row>
      <xdr:rowOff>11906</xdr:rowOff>
    </xdr:from>
    <xdr:to>
      <xdr:col>2</xdr:col>
      <xdr:colOff>892968</xdr:colOff>
      <xdr:row>3</xdr:row>
      <xdr:rowOff>11906</xdr:rowOff>
    </xdr:to>
    <xdr:pic>
      <xdr:nvPicPr>
        <xdr:cNvPr id="3" name="Imagen 2" descr="C:\Documents and Settings\Yanina\Mis documentos\Downloads\LOGO-OFICIAL-Proteccion-Animal-Bogota 28-11-2018.png">
          <a:extLst>
            <a:ext uri="{FF2B5EF4-FFF2-40B4-BE49-F238E27FC236}">
              <a16:creationId xmlns:a16="http://schemas.microsoft.com/office/drawing/2014/main" id="{2B249453-5F50-49A0-AF06-5B8C67A5ED0C}"/>
            </a:ext>
          </a:extLst>
        </xdr:cNvPr>
        <xdr:cNvPicPr/>
      </xdr:nvPicPr>
      <xdr:blipFill>
        <a:blip xmlns:r="http://schemas.openxmlformats.org/officeDocument/2006/relationships" r:embed="rId1" cstate="print"/>
        <a:srcRect/>
        <a:stretch>
          <a:fillRect/>
        </a:stretch>
      </xdr:blipFill>
      <xdr:spPr bwMode="auto">
        <a:xfrm>
          <a:off x="1366833" y="11906"/>
          <a:ext cx="1021560" cy="10572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0</xdr:row>
      <xdr:rowOff>35718</xdr:rowOff>
    </xdr:from>
    <xdr:to>
      <xdr:col>2</xdr:col>
      <xdr:colOff>869156</xdr:colOff>
      <xdr:row>2</xdr:row>
      <xdr:rowOff>321469</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8F040FFC-8914-4DD9-B999-52465057AF42}"/>
            </a:ext>
          </a:extLst>
        </xdr:cNvPr>
        <xdr:cNvPicPr/>
      </xdr:nvPicPr>
      <xdr:blipFill>
        <a:blip xmlns:r="http://schemas.openxmlformats.org/officeDocument/2006/relationships" r:embed="rId1" cstate="print"/>
        <a:srcRect/>
        <a:stretch>
          <a:fillRect/>
        </a:stretch>
      </xdr:blipFill>
      <xdr:spPr bwMode="auto">
        <a:xfrm>
          <a:off x="1393031" y="35718"/>
          <a:ext cx="976313" cy="1000126"/>
        </a:xfrm>
        <a:prstGeom prst="rect">
          <a:avLst/>
        </a:prstGeom>
        <a:noFill/>
        <a:ln w="9525">
          <a:noFill/>
          <a:miter lim="800000"/>
          <a:headEnd/>
          <a:tailEnd/>
        </a:ln>
      </xdr:spPr>
    </xdr:pic>
    <xdr:clientData/>
  </xdr:twoCellAnchor>
  <xdr:twoCellAnchor editAs="oneCell">
    <xdr:from>
      <xdr:col>1</xdr:col>
      <xdr:colOff>285750</xdr:colOff>
      <xdr:row>0</xdr:row>
      <xdr:rowOff>35718</xdr:rowOff>
    </xdr:from>
    <xdr:to>
      <xdr:col>2</xdr:col>
      <xdr:colOff>869156</xdr:colOff>
      <xdr:row>2</xdr:row>
      <xdr:rowOff>321469</xdr:rowOff>
    </xdr:to>
    <xdr:pic>
      <xdr:nvPicPr>
        <xdr:cNvPr id="3" name="Imagen 2" descr="C:\Documents and Settings\Yanina\Mis documentos\Downloads\LOGO-OFICIAL-Proteccion-Animal-Bogota 28-11-2018.png">
          <a:extLst>
            <a:ext uri="{FF2B5EF4-FFF2-40B4-BE49-F238E27FC236}">
              <a16:creationId xmlns:a16="http://schemas.microsoft.com/office/drawing/2014/main" id="{09E56D6C-10DC-4AD0-89DD-3B341CFD8C1C}"/>
            </a:ext>
          </a:extLst>
        </xdr:cNvPr>
        <xdr:cNvPicPr/>
      </xdr:nvPicPr>
      <xdr:blipFill>
        <a:blip xmlns:r="http://schemas.openxmlformats.org/officeDocument/2006/relationships" r:embed="rId1" cstate="print"/>
        <a:srcRect/>
        <a:stretch>
          <a:fillRect/>
        </a:stretch>
      </xdr:blipFill>
      <xdr:spPr bwMode="auto">
        <a:xfrm>
          <a:off x="1390650" y="35718"/>
          <a:ext cx="973931" cy="99060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317263</xdr:colOff>
      <xdr:row>0</xdr:row>
      <xdr:rowOff>36418</xdr:rowOff>
    </xdr:from>
    <xdr:to>
      <xdr:col>2</xdr:col>
      <xdr:colOff>840442</xdr:colOff>
      <xdr:row>3</xdr:row>
      <xdr:rowOff>11206</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6C051619-9298-4CD6-9565-A7513CB96E8F}"/>
            </a:ext>
          </a:extLst>
        </xdr:cNvPr>
        <xdr:cNvPicPr/>
      </xdr:nvPicPr>
      <xdr:blipFill>
        <a:blip xmlns:r="http://schemas.openxmlformats.org/officeDocument/2006/relationships" r:embed="rId1" cstate="print"/>
        <a:srcRect/>
        <a:stretch>
          <a:fillRect/>
        </a:stretch>
      </xdr:blipFill>
      <xdr:spPr bwMode="auto">
        <a:xfrm>
          <a:off x="1426645" y="36418"/>
          <a:ext cx="915385" cy="101693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250027</xdr:colOff>
      <xdr:row>0</xdr:row>
      <xdr:rowOff>1</xdr:rowOff>
    </xdr:from>
    <xdr:to>
      <xdr:col>2</xdr:col>
      <xdr:colOff>916781</xdr:colOff>
      <xdr:row>3</xdr:row>
      <xdr:rowOff>35720</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1B15886D-7652-473E-B5F7-77777E518338}"/>
            </a:ext>
          </a:extLst>
        </xdr:cNvPr>
        <xdr:cNvPicPr/>
      </xdr:nvPicPr>
      <xdr:blipFill>
        <a:blip xmlns:r="http://schemas.openxmlformats.org/officeDocument/2006/relationships" r:embed="rId1" cstate="print"/>
        <a:srcRect/>
        <a:stretch>
          <a:fillRect/>
        </a:stretch>
      </xdr:blipFill>
      <xdr:spPr bwMode="auto">
        <a:xfrm>
          <a:off x="1357308" y="1"/>
          <a:ext cx="1059661" cy="1107282"/>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238125</xdr:colOff>
      <xdr:row>0</xdr:row>
      <xdr:rowOff>61912</xdr:rowOff>
    </xdr:from>
    <xdr:to>
      <xdr:col>2</xdr:col>
      <xdr:colOff>1200150</xdr:colOff>
      <xdr:row>2</xdr:row>
      <xdr:rowOff>295275</xdr:rowOff>
    </xdr:to>
    <xdr:pic>
      <xdr:nvPicPr>
        <xdr:cNvPr id="2" name="Imagen 1" descr="C:\Documents and Settings\Yanina\Mis documentos\Downloads\LOGO-OFICIAL-Proteccion-Animal-Bogota 28-11-2018.png">
          <a:extLst>
            <a:ext uri="{FF2B5EF4-FFF2-40B4-BE49-F238E27FC236}">
              <a16:creationId xmlns:a16="http://schemas.microsoft.com/office/drawing/2014/main" id="{CA13B54D-55C7-4DC3-858E-693AD89C0FC5}"/>
            </a:ext>
          </a:extLst>
        </xdr:cNvPr>
        <xdr:cNvPicPr/>
      </xdr:nvPicPr>
      <xdr:blipFill>
        <a:blip xmlns:r="http://schemas.openxmlformats.org/officeDocument/2006/relationships" r:embed="rId1" cstate="print"/>
        <a:srcRect/>
        <a:stretch>
          <a:fillRect/>
        </a:stretch>
      </xdr:blipFill>
      <xdr:spPr bwMode="auto">
        <a:xfrm>
          <a:off x="1733550" y="61912"/>
          <a:ext cx="962025" cy="93821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3" customWidth="1"/>
    <col min="2" max="2" width="25" style="3" customWidth="1"/>
    <col min="3" max="3" width="15.625" style="3" customWidth="1"/>
    <col min="4" max="4" width="13" style="3" customWidth="1"/>
    <col min="5" max="6" width="13.625" style="3" customWidth="1"/>
    <col min="7" max="7" width="15.875" style="3" customWidth="1"/>
    <col min="8" max="8" width="9.375" style="3" customWidth="1"/>
    <col min="9" max="9" width="10.375" style="3" customWidth="1"/>
    <col min="10" max="10" width="11.5" style="3" customWidth="1"/>
    <col min="11" max="11" width="10.125" style="3" customWidth="1"/>
    <col min="12" max="12" width="8.125" style="3" customWidth="1"/>
    <col min="13" max="14" width="7.5" style="3" customWidth="1"/>
    <col min="15" max="15" width="7.875" style="3" customWidth="1"/>
    <col min="16" max="16" width="6.625" style="3" customWidth="1"/>
    <col min="17" max="18" width="10.875" style="3"/>
    <col min="19" max="19" width="11.375" style="3" customWidth="1"/>
    <col min="20" max="20" width="11.5" style="3" hidden="1" customWidth="1"/>
    <col min="21" max="21" width="28.5" style="3" customWidth="1"/>
    <col min="22" max="22" width="15.375" style="3" customWidth="1"/>
    <col min="23" max="24" width="14.125" style="3" customWidth="1"/>
    <col min="25" max="26" width="8" style="3" customWidth="1"/>
    <col min="27" max="27" width="7.5" style="3" customWidth="1"/>
    <col min="28" max="28" width="7.625" style="3" customWidth="1"/>
    <col min="29" max="29" width="10.5" style="3" customWidth="1"/>
    <col min="30" max="30" width="10.875" style="3"/>
    <col min="31" max="31" width="22.125" style="3" customWidth="1"/>
    <col min="32" max="32" width="19.625" style="3" customWidth="1"/>
    <col min="33" max="33" width="10.875" style="3"/>
    <col min="34" max="34" width="13.125" style="3" customWidth="1"/>
    <col min="35" max="36" width="10.875" style="3"/>
    <col min="37" max="37" width="19.125" style="3" customWidth="1"/>
    <col min="38" max="38" width="23.125" style="3" customWidth="1"/>
    <col min="39" max="41" width="10.875" style="3"/>
    <col min="42" max="43" width="0" style="3" hidden="1" customWidth="1"/>
    <col min="44" max="45" width="10.875" style="3"/>
    <col min="46" max="46" width="0" style="3" hidden="1" customWidth="1"/>
    <col min="47" max="47" width="6" style="3" customWidth="1"/>
    <col min="48" max="48" width="6.125" style="3" customWidth="1"/>
    <col min="49" max="49" width="6.625" style="3" customWidth="1"/>
    <col min="50" max="50" width="4.625" style="3" customWidth="1"/>
    <col min="51" max="51" width="6.125" style="3" customWidth="1"/>
    <col min="52" max="53" width="10.875" style="3"/>
    <col min="54" max="54" width="21.5" style="3" customWidth="1"/>
    <col min="55" max="55" width="20" style="3" customWidth="1"/>
    <col min="56" max="60" width="10.875" style="3"/>
    <col min="61" max="65" width="5" style="3" bestFit="1" customWidth="1"/>
    <col min="66" max="16384" width="10.875" style="3"/>
  </cols>
  <sheetData>
    <row r="1" spans="1:65" ht="12.75" customHeight="1" x14ac:dyDescent="0.2">
      <c r="A1" s="1426" t="s">
        <v>134</v>
      </c>
      <c r="B1" s="1427"/>
      <c r="C1" s="1427"/>
      <c r="D1" s="1427"/>
      <c r="E1" s="1427"/>
      <c r="F1" s="1427"/>
      <c r="G1" s="1427"/>
      <c r="H1" s="1427"/>
      <c r="I1" s="1427"/>
      <c r="J1" s="1427"/>
      <c r="K1" s="1427"/>
      <c r="L1" s="1427"/>
      <c r="M1" s="1427"/>
      <c r="N1" s="1427"/>
      <c r="O1" s="1427"/>
      <c r="P1" s="1428"/>
      <c r="U1" s="1429" t="s">
        <v>134</v>
      </c>
      <c r="V1" s="1429"/>
      <c r="W1" s="1429"/>
      <c r="X1" s="1429"/>
      <c r="Y1" s="1429"/>
      <c r="Z1" s="1429"/>
      <c r="AA1" s="1429"/>
      <c r="AB1" s="1429"/>
      <c r="AC1" s="1429"/>
      <c r="AD1" s="1429"/>
      <c r="AE1" s="1429" t="s">
        <v>135</v>
      </c>
      <c r="AF1" s="1429"/>
      <c r="AG1" s="1429"/>
      <c r="AK1" s="1426" t="s">
        <v>134</v>
      </c>
      <c r="AL1" s="1427"/>
      <c r="AM1" s="1427"/>
      <c r="AN1" s="1427"/>
      <c r="AO1" s="1427"/>
      <c r="AP1" s="1427"/>
      <c r="AQ1" s="1427"/>
      <c r="AR1" s="1427"/>
      <c r="AS1" s="1427"/>
      <c r="AT1" s="1427"/>
      <c r="AU1" s="1427"/>
      <c r="AV1" s="1427"/>
      <c r="AW1" s="1427"/>
      <c r="AX1" s="1427"/>
      <c r="AY1" s="1428"/>
      <c r="BB1" s="1426" t="s">
        <v>134</v>
      </c>
      <c r="BC1" s="1427"/>
      <c r="BD1" s="1427"/>
      <c r="BE1" s="1427"/>
      <c r="BF1" s="1427"/>
      <c r="BG1" s="1427"/>
      <c r="BH1" s="1427"/>
      <c r="BI1" s="1427"/>
      <c r="BJ1" s="1427"/>
      <c r="BK1" s="1427"/>
      <c r="BL1" s="1427"/>
      <c r="BM1" s="1428"/>
    </row>
    <row r="2" spans="1:65" ht="33" customHeight="1" x14ac:dyDescent="0.2">
      <c r="A2" s="1420" t="s">
        <v>136</v>
      </c>
      <c r="B2" s="1418" t="s">
        <v>137</v>
      </c>
      <c r="C2" s="1418" t="s">
        <v>138</v>
      </c>
      <c r="D2" s="1418" t="s">
        <v>139</v>
      </c>
      <c r="E2" s="1420" t="s">
        <v>140</v>
      </c>
      <c r="F2" s="1421" t="s">
        <v>175</v>
      </c>
      <c r="G2" s="1420" t="s">
        <v>141</v>
      </c>
      <c r="H2" s="1418" t="s">
        <v>142</v>
      </c>
      <c r="I2" s="1418" t="s">
        <v>143</v>
      </c>
      <c r="J2" s="1418" t="s">
        <v>171</v>
      </c>
      <c r="K2" s="1418" t="s">
        <v>172</v>
      </c>
      <c r="L2" s="1423" t="s">
        <v>144</v>
      </c>
      <c r="M2" s="1424"/>
      <c r="N2" s="1424"/>
      <c r="O2" s="1424"/>
      <c r="P2" s="1425"/>
      <c r="U2" s="1420" t="s">
        <v>136</v>
      </c>
      <c r="V2" s="1420" t="s">
        <v>141</v>
      </c>
      <c r="W2" s="1421" t="s">
        <v>145</v>
      </c>
      <c r="X2" s="1421" t="s">
        <v>146</v>
      </c>
      <c r="Y2" s="1423" t="s">
        <v>144</v>
      </c>
      <c r="Z2" s="1424"/>
      <c r="AA2" s="1424"/>
      <c r="AB2" s="1424"/>
      <c r="AC2" s="1425"/>
      <c r="AD2" s="1420" t="s">
        <v>147</v>
      </c>
      <c r="AE2" s="1420" t="s">
        <v>148</v>
      </c>
      <c r="AF2" s="1420" t="s">
        <v>149</v>
      </c>
      <c r="AG2" s="1420" t="s">
        <v>150</v>
      </c>
      <c r="AK2" s="1420" t="s">
        <v>136</v>
      </c>
      <c r="AL2" s="1418" t="s">
        <v>137</v>
      </c>
      <c r="AM2" s="1418" t="s">
        <v>138</v>
      </c>
      <c r="AN2" s="1418" t="s">
        <v>139</v>
      </c>
      <c r="AO2" s="1420" t="s">
        <v>140</v>
      </c>
      <c r="AP2" s="1421" t="s">
        <v>151</v>
      </c>
      <c r="AQ2" s="1420" t="s">
        <v>141</v>
      </c>
      <c r="AR2" s="1418" t="s">
        <v>142</v>
      </c>
      <c r="AS2" s="1418" t="s">
        <v>143</v>
      </c>
      <c r="AT2" s="1418" t="s">
        <v>152</v>
      </c>
      <c r="AU2" s="1423" t="s">
        <v>144</v>
      </c>
      <c r="AV2" s="1424"/>
      <c r="AW2" s="1424"/>
      <c r="AX2" s="1424"/>
      <c r="AY2" s="1425"/>
      <c r="BB2" s="1420" t="s">
        <v>136</v>
      </c>
      <c r="BC2" s="1421" t="s">
        <v>137</v>
      </c>
      <c r="BD2" s="1421" t="s">
        <v>138</v>
      </c>
      <c r="BE2" s="1421" t="s">
        <v>139</v>
      </c>
      <c r="BF2" s="1420" t="s">
        <v>140</v>
      </c>
      <c r="BG2" s="1421" t="s">
        <v>153</v>
      </c>
      <c r="BH2" s="1421" t="s">
        <v>154</v>
      </c>
      <c r="BI2" s="1423" t="s">
        <v>144</v>
      </c>
      <c r="BJ2" s="1424"/>
      <c r="BK2" s="1424"/>
      <c r="BL2" s="1424"/>
      <c r="BM2" s="1425"/>
    </row>
    <row r="3" spans="1:65" ht="50.25" customHeight="1" x14ac:dyDescent="0.2">
      <c r="A3" s="1420"/>
      <c r="B3" s="1419"/>
      <c r="C3" s="1419"/>
      <c r="D3" s="1419"/>
      <c r="E3" s="1420"/>
      <c r="F3" s="1422"/>
      <c r="G3" s="1420"/>
      <c r="H3" s="1419"/>
      <c r="I3" s="1419"/>
      <c r="J3" s="1419"/>
      <c r="K3" s="1419"/>
      <c r="L3" s="27">
        <v>2008</v>
      </c>
      <c r="M3" s="27">
        <v>2009</v>
      </c>
      <c r="N3" s="27">
        <v>2010</v>
      </c>
      <c r="O3" s="27">
        <v>2011</v>
      </c>
      <c r="P3" s="27">
        <v>2012</v>
      </c>
      <c r="U3" s="1420"/>
      <c r="V3" s="1420"/>
      <c r="W3" s="1422"/>
      <c r="X3" s="1422"/>
      <c r="Y3" s="27">
        <v>2008</v>
      </c>
      <c r="Z3" s="27">
        <v>2009</v>
      </c>
      <c r="AA3" s="27">
        <v>2010</v>
      </c>
      <c r="AB3" s="27">
        <v>2011</v>
      </c>
      <c r="AC3" s="27">
        <v>2012</v>
      </c>
      <c r="AD3" s="1420"/>
      <c r="AE3" s="1420"/>
      <c r="AF3" s="1420"/>
      <c r="AG3" s="1420"/>
      <c r="AK3" s="1420"/>
      <c r="AL3" s="1419"/>
      <c r="AM3" s="1419"/>
      <c r="AN3" s="1419"/>
      <c r="AO3" s="1420"/>
      <c r="AP3" s="1422"/>
      <c r="AQ3" s="1420"/>
      <c r="AR3" s="1419"/>
      <c r="AS3" s="1419"/>
      <c r="AT3" s="1419"/>
      <c r="AU3" s="27">
        <v>2008</v>
      </c>
      <c r="AV3" s="27">
        <v>2009</v>
      </c>
      <c r="AW3" s="27">
        <v>2010</v>
      </c>
      <c r="AX3" s="27">
        <v>2011</v>
      </c>
      <c r="AY3" s="27">
        <v>2012</v>
      </c>
      <c r="BB3" s="1420"/>
      <c r="BC3" s="1422"/>
      <c r="BD3" s="1422"/>
      <c r="BE3" s="1422"/>
      <c r="BF3" s="1420"/>
      <c r="BG3" s="1422"/>
      <c r="BH3" s="1422"/>
      <c r="BI3" s="27">
        <v>2008</v>
      </c>
      <c r="BJ3" s="27">
        <v>2009</v>
      </c>
      <c r="BK3" s="27">
        <v>2010</v>
      </c>
      <c r="BL3" s="27">
        <v>2011</v>
      </c>
      <c r="BM3" s="27">
        <v>2012</v>
      </c>
    </row>
    <row r="4" spans="1:65" ht="48" customHeight="1" x14ac:dyDescent="0.2">
      <c r="A4" s="28" t="s">
        <v>155</v>
      </c>
      <c r="B4" s="28" t="s">
        <v>156</v>
      </c>
      <c r="C4" s="1" t="s">
        <v>157</v>
      </c>
      <c r="D4" s="1" t="s">
        <v>158</v>
      </c>
      <c r="E4" s="2">
        <f>+L4+M4+N4+O4+P4</f>
        <v>1</v>
      </c>
      <c r="F4" s="2">
        <f>+J4*E4/I4</f>
        <v>0.84444444444444444</v>
      </c>
      <c r="G4" s="2">
        <f>L4+M4+N4+J4</f>
        <v>0.88</v>
      </c>
      <c r="H4" s="2">
        <f>+L4+M4+N4+O4</f>
        <v>0.95</v>
      </c>
      <c r="I4" s="29">
        <f>+O4</f>
        <v>0.45</v>
      </c>
      <c r="J4" s="2">
        <v>0.38</v>
      </c>
      <c r="K4" s="2">
        <v>0.23</v>
      </c>
      <c r="L4" s="2">
        <v>0.1</v>
      </c>
      <c r="M4" s="2">
        <v>0.15</v>
      </c>
      <c r="N4" s="2">
        <v>0.25</v>
      </c>
      <c r="O4" s="29">
        <v>0.45</v>
      </c>
      <c r="P4" s="2">
        <v>0.05</v>
      </c>
      <c r="U4" s="28" t="s">
        <v>156</v>
      </c>
      <c r="V4" s="2">
        <f>+Y4+Z4+AA4+AD4</f>
        <v>0.88</v>
      </c>
      <c r="W4" s="2">
        <f>+G8</f>
        <v>0.38</v>
      </c>
      <c r="X4" s="2">
        <f>+SUM(Y4:AB4)</f>
        <v>0.95</v>
      </c>
      <c r="Y4" s="2">
        <v>0.1</v>
      </c>
      <c r="Z4" s="2">
        <v>0.15</v>
      </c>
      <c r="AA4" s="2">
        <v>0.25</v>
      </c>
      <c r="AB4" s="29">
        <v>0.45</v>
      </c>
      <c r="AC4" s="2">
        <v>0.05</v>
      </c>
      <c r="AD4" s="2">
        <v>0.38</v>
      </c>
      <c r="AE4" s="30">
        <f>+'[1]METAS-ACT '!S24+'[1]METAS-ACT '!S26</f>
        <v>1090000000</v>
      </c>
      <c r="AF4" s="30">
        <v>882716713</v>
      </c>
      <c r="AG4" s="31">
        <f>+AF4/AE4</f>
        <v>0.80983184678899078</v>
      </c>
      <c r="AK4" s="28" t="s">
        <v>155</v>
      </c>
      <c r="AL4" s="28" t="s">
        <v>156</v>
      </c>
      <c r="AM4" s="1" t="s">
        <v>157</v>
      </c>
      <c r="AN4" s="1" t="s">
        <v>158</v>
      </c>
      <c r="AO4" s="2">
        <f>+AU4+AV4+AW4+AX4+AY4</f>
        <v>1</v>
      </c>
      <c r="AP4" s="2">
        <f>+AT4*AO4/AS4</f>
        <v>0.15555555555555556</v>
      </c>
      <c r="AQ4" s="2">
        <f>AU4+AV4+AW4+AT4</f>
        <v>0.57000000000000006</v>
      </c>
      <c r="AR4" s="2">
        <f>+AU4+AV4+AW4+AX4</f>
        <v>0.95</v>
      </c>
      <c r="AS4" s="29">
        <f>+AX4</f>
        <v>0.45</v>
      </c>
      <c r="AT4" s="2">
        <v>7.0000000000000007E-2</v>
      </c>
      <c r="AU4" s="2">
        <v>0.1</v>
      </c>
      <c r="AV4" s="2">
        <v>0.15</v>
      </c>
      <c r="AW4" s="2">
        <v>0.25</v>
      </c>
      <c r="AX4" s="29">
        <v>0.45</v>
      </c>
      <c r="AY4" s="2">
        <v>0.05</v>
      </c>
      <c r="BB4" s="28" t="s">
        <v>107</v>
      </c>
      <c r="BC4" s="28" t="s">
        <v>159</v>
      </c>
      <c r="BD4" s="1" t="s">
        <v>160</v>
      </c>
      <c r="BE4" s="1" t="s">
        <v>161</v>
      </c>
      <c r="BF4" s="2">
        <f>+BI4+BJ4+BK4+BL4+BM4</f>
        <v>1</v>
      </c>
      <c r="BG4" s="2">
        <f>+SUM(BI4+BJ4+BK4+BL4)</f>
        <v>1</v>
      </c>
      <c r="BH4" s="29">
        <f>+BL4</f>
        <v>0.56999999999999995</v>
      </c>
      <c r="BI4" s="2">
        <v>0</v>
      </c>
      <c r="BJ4" s="2">
        <v>0.25</v>
      </c>
      <c r="BK4" s="2">
        <v>0.18</v>
      </c>
      <c r="BL4" s="29">
        <v>0.56999999999999995</v>
      </c>
      <c r="BM4" s="2">
        <v>0</v>
      </c>
    </row>
    <row r="5" spans="1:65" ht="22.5" x14ac:dyDescent="0.2">
      <c r="A5" s="32"/>
      <c r="B5" s="32"/>
      <c r="C5" s="33"/>
      <c r="D5" s="33"/>
      <c r="E5" s="34"/>
      <c r="F5" s="34"/>
      <c r="G5" s="34"/>
      <c r="H5" s="34"/>
      <c r="I5" s="35"/>
      <c r="J5" s="34"/>
      <c r="K5" s="34"/>
      <c r="L5" s="34"/>
      <c r="M5" s="34"/>
      <c r="N5" s="35"/>
      <c r="O5" s="34"/>
      <c r="P5" s="34"/>
      <c r="U5" s="28" t="s">
        <v>107</v>
      </c>
      <c r="V5" s="2">
        <f>+Y5+Z5+AA5+AD5</f>
        <v>0.78</v>
      </c>
      <c r="W5" s="2">
        <f>+J14</f>
        <v>0.35</v>
      </c>
      <c r="X5" s="2">
        <f>+SUM(Y5:AB5)</f>
        <v>1</v>
      </c>
      <c r="Y5" s="2">
        <v>0</v>
      </c>
      <c r="Z5" s="2">
        <v>0.25</v>
      </c>
      <c r="AA5" s="2">
        <v>0.18</v>
      </c>
      <c r="AB5" s="29">
        <v>0.56999999999999995</v>
      </c>
      <c r="AC5" s="2">
        <v>0</v>
      </c>
      <c r="AD5" s="2">
        <v>0.35</v>
      </c>
      <c r="AE5" s="30">
        <f>+'[1]METAS PROYECTO'!F17</f>
        <v>0</v>
      </c>
      <c r="AF5" s="30">
        <f>+'[1]METAS PROYECTO'!G17</f>
        <v>0</v>
      </c>
      <c r="AG5" s="2">
        <v>0</v>
      </c>
    </row>
    <row r="6" spans="1:65" ht="22.5" customHeight="1" x14ac:dyDescent="0.2">
      <c r="A6" s="1420" t="s">
        <v>136</v>
      </c>
      <c r="B6" s="1420" t="s">
        <v>140</v>
      </c>
      <c r="C6" s="1420" t="s">
        <v>141</v>
      </c>
      <c r="D6" s="1421" t="s">
        <v>162</v>
      </c>
      <c r="E6" s="1421" t="s">
        <v>163</v>
      </c>
      <c r="F6" s="1421" t="s">
        <v>164</v>
      </c>
      <c r="G6" s="1421" t="s">
        <v>173</v>
      </c>
      <c r="H6" s="1420" t="s">
        <v>144</v>
      </c>
      <c r="I6" s="1420"/>
      <c r="J6" s="1420"/>
      <c r="K6" s="1420"/>
      <c r="L6" s="1420"/>
      <c r="M6" s="36"/>
      <c r="U6" s="37" t="s">
        <v>165</v>
      </c>
      <c r="AE6" s="38">
        <f>+AE4+AE5</f>
        <v>1090000000</v>
      </c>
      <c r="AF6" s="38">
        <f>+AF4</f>
        <v>882716713</v>
      </c>
      <c r="AG6" s="39">
        <f>+AF6/AE6</f>
        <v>0.80983184678899078</v>
      </c>
    </row>
    <row r="7" spans="1:65" ht="39" customHeight="1" x14ac:dyDescent="0.2">
      <c r="A7" s="1420"/>
      <c r="B7" s="1420"/>
      <c r="C7" s="1420"/>
      <c r="D7" s="1422"/>
      <c r="E7" s="1422"/>
      <c r="F7" s="1422"/>
      <c r="G7" s="1422"/>
      <c r="H7" s="27">
        <v>2008</v>
      </c>
      <c r="I7" s="27">
        <v>2009</v>
      </c>
      <c r="J7" s="27">
        <v>2010</v>
      </c>
      <c r="K7" s="27">
        <v>2011</v>
      </c>
      <c r="L7" s="27">
        <v>2012</v>
      </c>
      <c r="U7" s="32"/>
      <c r="V7" s="34"/>
      <c r="W7" s="34"/>
      <c r="X7" s="34"/>
      <c r="Y7" s="34"/>
      <c r="Z7" s="34"/>
      <c r="AA7" s="35"/>
      <c r="AB7" s="34"/>
      <c r="AC7" s="34"/>
      <c r="AD7" s="34"/>
      <c r="AE7" s="40"/>
      <c r="AF7" s="40"/>
      <c r="AG7" s="34"/>
    </row>
    <row r="8" spans="1:65" ht="22.5" x14ac:dyDescent="0.2">
      <c r="A8" s="28" t="s">
        <v>155</v>
      </c>
      <c r="B8" s="2">
        <v>1</v>
      </c>
      <c r="C8" s="2">
        <f>+H8+I8+J8+G8</f>
        <v>0.88</v>
      </c>
      <c r="D8" s="2">
        <f>+SUM(H8:K8)</f>
        <v>0.95</v>
      </c>
      <c r="E8" s="29">
        <f>+K8</f>
        <v>0.45</v>
      </c>
      <c r="F8" s="29">
        <f>(B8*G8)/E8</f>
        <v>0.84444444444444444</v>
      </c>
      <c r="G8" s="2">
        <f>+J4</f>
        <v>0.38</v>
      </c>
      <c r="H8" s="2">
        <v>0.1</v>
      </c>
      <c r="I8" s="2">
        <v>0.15</v>
      </c>
      <c r="J8" s="2">
        <v>0.25</v>
      </c>
      <c r="K8" s="29">
        <v>0.45</v>
      </c>
      <c r="L8" s="2">
        <v>0.05</v>
      </c>
      <c r="O8" s="34"/>
      <c r="U8" s="32"/>
      <c r="V8" s="34"/>
      <c r="W8" s="34"/>
      <c r="X8" s="34"/>
      <c r="Y8" s="34"/>
      <c r="Z8" s="34"/>
      <c r="AA8" s="35"/>
      <c r="AB8" s="34"/>
      <c r="AC8" s="34"/>
      <c r="AD8" s="34"/>
      <c r="AE8" s="40"/>
      <c r="AF8" s="40"/>
      <c r="AG8" s="34"/>
    </row>
    <row r="9" spans="1:65" x14ac:dyDescent="0.2">
      <c r="J9" s="41"/>
      <c r="K9" s="41"/>
    </row>
    <row r="10" spans="1:65" x14ac:dyDescent="0.2">
      <c r="H10" s="41"/>
    </row>
    <row r="11" spans="1:65" x14ac:dyDescent="0.2">
      <c r="A11" s="1426" t="s">
        <v>134</v>
      </c>
      <c r="B11" s="1427"/>
      <c r="C11" s="1427"/>
      <c r="D11" s="1427"/>
      <c r="E11" s="1427"/>
      <c r="F11" s="1427"/>
      <c r="G11" s="1427"/>
      <c r="H11" s="1427"/>
      <c r="I11" s="1427"/>
      <c r="J11" s="1427"/>
      <c r="K11" s="1427"/>
      <c r="L11" s="1427"/>
      <c r="M11" s="1427"/>
      <c r="N11" s="1427"/>
      <c r="O11" s="1427"/>
      <c r="P11" s="1428"/>
    </row>
    <row r="12" spans="1:65" ht="27.75" customHeight="1" x14ac:dyDescent="0.2">
      <c r="A12" s="1420" t="s">
        <v>136</v>
      </c>
      <c r="B12" s="1421" t="s">
        <v>137</v>
      </c>
      <c r="C12" s="1421" t="s">
        <v>138</v>
      </c>
      <c r="D12" s="1421" t="s">
        <v>139</v>
      </c>
      <c r="E12" s="1420" t="s">
        <v>140</v>
      </c>
      <c r="F12" s="1421" t="s">
        <v>164</v>
      </c>
      <c r="G12" s="1420" t="s">
        <v>166</v>
      </c>
      <c r="H12" s="1421" t="s">
        <v>167</v>
      </c>
      <c r="I12" s="1421" t="s">
        <v>154</v>
      </c>
      <c r="J12" s="1418" t="s">
        <v>171</v>
      </c>
      <c r="K12" s="1418" t="s">
        <v>172</v>
      </c>
      <c r="L12" s="1423" t="s">
        <v>144</v>
      </c>
      <c r="M12" s="1424"/>
      <c r="N12" s="1424"/>
      <c r="O12" s="1424"/>
      <c r="P12" s="1425"/>
    </row>
    <row r="13" spans="1:65" ht="69.75" customHeight="1" x14ac:dyDescent="0.2">
      <c r="A13" s="1420"/>
      <c r="B13" s="1422"/>
      <c r="C13" s="1422"/>
      <c r="D13" s="1422"/>
      <c r="E13" s="1420"/>
      <c r="F13" s="1422"/>
      <c r="G13" s="1420"/>
      <c r="H13" s="1422"/>
      <c r="I13" s="1422"/>
      <c r="J13" s="1419"/>
      <c r="K13" s="1419"/>
      <c r="L13" s="27">
        <v>2008</v>
      </c>
      <c r="M13" s="27">
        <v>2009</v>
      </c>
      <c r="N13" s="27">
        <v>2010</v>
      </c>
      <c r="O13" s="27">
        <v>2011</v>
      </c>
      <c r="P13" s="27">
        <v>2012</v>
      </c>
    </row>
    <row r="14" spans="1:65" ht="43.5" customHeight="1" x14ac:dyDescent="0.2">
      <c r="A14" s="28" t="s">
        <v>107</v>
      </c>
      <c r="B14" s="28" t="s">
        <v>159</v>
      </c>
      <c r="C14" s="1" t="s">
        <v>160</v>
      </c>
      <c r="D14" s="1" t="s">
        <v>161</v>
      </c>
      <c r="E14" s="2">
        <f>+L14+M14+N14+O14+P14</f>
        <v>1</v>
      </c>
      <c r="F14" s="2">
        <f>+J14*E14/I14</f>
        <v>0.61403508771929827</v>
      </c>
      <c r="G14" s="2">
        <f>+SUM(L14:N14)+J14</f>
        <v>0.78</v>
      </c>
      <c r="H14" s="2">
        <f>+SUM(L14+M14+N14+O14)</f>
        <v>1</v>
      </c>
      <c r="I14" s="29">
        <f>+O14</f>
        <v>0.56999999999999995</v>
      </c>
      <c r="J14" s="2">
        <f>15%+K14</f>
        <v>0.35</v>
      </c>
      <c r="K14" s="2">
        <v>0.2</v>
      </c>
      <c r="L14" s="2">
        <v>0</v>
      </c>
      <c r="M14" s="2">
        <v>0.25</v>
      </c>
      <c r="N14" s="2">
        <v>0.18</v>
      </c>
      <c r="O14" s="29">
        <v>0.56999999999999995</v>
      </c>
      <c r="P14" s="2">
        <v>0</v>
      </c>
    </row>
    <row r="17" spans="1:13" x14ac:dyDescent="0.2">
      <c r="H17" s="3" t="s">
        <v>168</v>
      </c>
    </row>
    <row r="18" spans="1:13" ht="23.25" customHeight="1" x14ac:dyDescent="0.2">
      <c r="A18" s="1420" t="s">
        <v>136</v>
      </c>
      <c r="B18" s="1421" t="s">
        <v>140</v>
      </c>
      <c r="C18" s="1421" t="s">
        <v>166</v>
      </c>
      <c r="D18" s="1421" t="s">
        <v>169</v>
      </c>
      <c r="E18" s="1421" t="s">
        <v>170</v>
      </c>
      <c r="F18" s="1418" t="s">
        <v>174</v>
      </c>
      <c r="G18" s="1418" t="s">
        <v>171</v>
      </c>
      <c r="H18" s="1420" t="s">
        <v>144</v>
      </c>
      <c r="I18" s="1420"/>
      <c r="J18" s="1420"/>
      <c r="K18" s="1420"/>
      <c r="L18" s="1420"/>
      <c r="M18" s="36"/>
    </row>
    <row r="19" spans="1:13" ht="50.25" customHeight="1" x14ac:dyDescent="0.2">
      <c r="A19" s="1420"/>
      <c r="B19" s="1422"/>
      <c r="C19" s="1422"/>
      <c r="D19" s="1422"/>
      <c r="E19" s="1422"/>
      <c r="F19" s="1419"/>
      <c r="G19" s="1419"/>
      <c r="H19" s="27">
        <v>2008</v>
      </c>
      <c r="I19" s="27">
        <v>2009</v>
      </c>
      <c r="J19" s="27">
        <v>2010</v>
      </c>
      <c r="K19" s="27">
        <v>2011</v>
      </c>
      <c r="L19" s="27">
        <v>2012</v>
      </c>
      <c r="M19" s="42"/>
    </row>
    <row r="20" spans="1:13" ht="30" customHeight="1" x14ac:dyDescent="0.2">
      <c r="A20" s="28" t="s">
        <v>107</v>
      </c>
      <c r="B20" s="2">
        <v>1</v>
      </c>
      <c r="C20" s="2">
        <f>+H20+I20+J20+G20</f>
        <v>0.78</v>
      </c>
      <c r="D20" s="2">
        <f>+H20+I20+J20+L20+K20</f>
        <v>1</v>
      </c>
      <c r="E20" s="29">
        <f>+K20</f>
        <v>0.56999999999999995</v>
      </c>
      <c r="F20" s="29">
        <f>(B20*G20)/E20</f>
        <v>0.61403508771929827</v>
      </c>
      <c r="G20" s="2">
        <f>+J14</f>
        <v>0.35</v>
      </c>
      <c r="H20" s="2">
        <v>0</v>
      </c>
      <c r="I20" s="2">
        <v>0.25</v>
      </c>
      <c r="J20" s="2">
        <v>0.18</v>
      </c>
      <c r="K20" s="2">
        <v>0.56999999999999995</v>
      </c>
      <c r="L20" s="2">
        <v>0</v>
      </c>
      <c r="M20" s="34"/>
    </row>
    <row r="24" spans="1:13" x14ac:dyDescent="0.2">
      <c r="C24" s="41"/>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0"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CC00"/>
  </sheetPr>
  <dimension ref="A1:BG167"/>
  <sheetViews>
    <sheetView topLeftCell="G1" zoomScale="55" zoomScaleNormal="55" workbookViewId="0">
      <selection activeCell="Y14" sqref="Y14"/>
    </sheetView>
  </sheetViews>
  <sheetFormatPr baseColWidth="10" defaultColWidth="11.5" defaultRowHeight="15.75" x14ac:dyDescent="0.25"/>
  <cols>
    <col min="1" max="1" width="21.25" style="106" customWidth="1"/>
    <col min="2" max="2" width="5.125" style="106" customWidth="1"/>
    <col min="3" max="3" width="29.5" style="106" customWidth="1"/>
    <col min="4" max="5" width="11.75" style="106" customWidth="1"/>
    <col min="6" max="6" width="29.5" style="106" customWidth="1"/>
    <col min="7" max="7" width="12.875" style="106" customWidth="1"/>
    <col min="8" max="8" width="6" style="106" customWidth="1"/>
    <col min="9" max="9" width="13" style="106" customWidth="1"/>
    <col min="10" max="10" width="15.125" style="106" customWidth="1"/>
    <col min="11" max="11" width="10.375" style="106" customWidth="1"/>
    <col min="12" max="12" width="11.375" style="106" customWidth="1"/>
    <col min="13" max="13" width="10.375" style="106" customWidth="1"/>
    <col min="14" max="14" width="9.375" style="106" customWidth="1"/>
    <col min="15" max="15" width="11.875" style="106" customWidth="1"/>
    <col min="16" max="16" width="9.875" style="106" customWidth="1"/>
    <col min="17" max="17" width="6.125" style="106" customWidth="1"/>
    <col min="18" max="19" width="8.5" style="106" customWidth="1"/>
    <col min="20" max="20" width="6.5" style="106" customWidth="1"/>
    <col min="21" max="21" width="5.625" style="106" customWidth="1"/>
    <col min="22" max="23" width="7.5" style="106" customWidth="1"/>
    <col min="24" max="24" width="8.125" style="106" customWidth="1"/>
    <col min="25" max="25" width="8.875" style="106" customWidth="1"/>
    <col min="26" max="26" width="9.125" style="106" customWidth="1"/>
    <col min="27" max="27" width="17.875" style="106" customWidth="1"/>
    <col min="28" max="29" width="15.5" style="106" customWidth="1"/>
    <col min="30" max="30" width="11.5" style="106"/>
    <col min="31" max="31" width="13.875" style="106" customWidth="1"/>
    <col min="32" max="33" width="17.875" style="106" customWidth="1"/>
    <col min="34" max="34" width="24.375" style="106" customWidth="1"/>
    <col min="35" max="36" width="17.875" style="106" customWidth="1"/>
    <col min="37" max="37" width="24.375" style="106" customWidth="1"/>
    <col min="38" max="39" width="17.875" style="106" customWidth="1"/>
    <col min="40" max="40" width="24.375" style="106" customWidth="1"/>
    <col min="41" max="41" width="17.875" style="106" customWidth="1"/>
    <col min="42" max="42" width="20.125" style="106" bestFit="1" customWidth="1"/>
    <col min="43" max="43" width="24.375" style="106" customWidth="1"/>
    <col min="44" max="16384" width="11.5" style="106"/>
  </cols>
  <sheetData>
    <row r="1" spans="1:47" ht="27.75" customHeight="1" x14ac:dyDescent="0.25">
      <c r="A1" s="1805"/>
      <c r="B1" s="1713"/>
      <c r="C1" s="1714"/>
      <c r="D1" s="102"/>
      <c r="E1" s="102"/>
      <c r="F1" s="102"/>
      <c r="G1" s="102"/>
      <c r="H1" s="1806" t="s">
        <v>176</v>
      </c>
      <c r="I1" s="1807"/>
      <c r="J1" s="1807"/>
      <c r="K1" s="1807"/>
      <c r="L1" s="1807"/>
      <c r="M1" s="1807"/>
      <c r="N1" s="1807"/>
      <c r="O1" s="1807"/>
      <c r="P1" s="1807"/>
      <c r="Q1" s="1807"/>
      <c r="R1" s="1807"/>
      <c r="S1" s="1807"/>
      <c r="T1" s="1807"/>
      <c r="U1" s="1807"/>
      <c r="V1" s="1807"/>
      <c r="W1" s="1807"/>
      <c r="X1" s="1807"/>
      <c r="Y1" s="1807"/>
      <c r="Z1" s="1808"/>
      <c r="AA1" s="44"/>
      <c r="AB1" s="44"/>
      <c r="AC1" s="44"/>
      <c r="AD1" s="103"/>
      <c r="AE1" s="103"/>
      <c r="AF1" s="104"/>
      <c r="AG1" s="104"/>
      <c r="AH1" s="104"/>
      <c r="AI1" s="104"/>
      <c r="AJ1" s="104"/>
      <c r="AK1" s="104"/>
      <c r="AL1" s="104"/>
      <c r="AM1" s="104"/>
      <c r="AN1" s="104"/>
      <c r="AO1" s="104"/>
      <c r="AP1" s="104"/>
      <c r="AQ1" s="105"/>
    </row>
    <row r="2" spans="1:47" ht="27.75" customHeight="1" x14ac:dyDescent="0.25">
      <c r="A2" s="1666"/>
      <c r="B2" s="1715"/>
      <c r="C2" s="1716"/>
      <c r="D2" s="107"/>
      <c r="E2" s="107"/>
      <c r="F2" s="107"/>
      <c r="G2" s="107"/>
      <c r="H2" s="1708" t="s">
        <v>0</v>
      </c>
      <c r="I2" s="1709"/>
      <c r="J2" s="1709"/>
      <c r="K2" s="1709"/>
      <c r="L2" s="1709"/>
      <c r="M2" s="1709"/>
      <c r="N2" s="1709"/>
      <c r="O2" s="1709"/>
      <c r="P2" s="1709"/>
      <c r="Q2" s="1709"/>
      <c r="R2" s="1709"/>
      <c r="S2" s="1709"/>
      <c r="T2" s="1709"/>
      <c r="U2" s="1709"/>
      <c r="V2" s="1709"/>
      <c r="W2" s="1709"/>
      <c r="X2" s="1709"/>
      <c r="Y2" s="1709"/>
      <c r="Z2" s="1720"/>
      <c r="AA2" s="108"/>
      <c r="AB2" s="108"/>
      <c r="AC2" s="108"/>
      <c r="AD2" s="109"/>
      <c r="AE2" s="109"/>
      <c r="AQ2" s="110"/>
    </row>
    <row r="3" spans="1:47" ht="27.75" customHeight="1" x14ac:dyDescent="0.25">
      <c r="A3" s="1666"/>
      <c r="B3" s="1715"/>
      <c r="C3" s="1716"/>
      <c r="D3" s="107"/>
      <c r="E3" s="107"/>
      <c r="F3" s="107"/>
      <c r="G3" s="107"/>
      <c r="H3" s="1721" t="s">
        <v>210</v>
      </c>
      <c r="I3" s="1722"/>
      <c r="J3" s="1722"/>
      <c r="K3" s="1722"/>
      <c r="L3" s="1722"/>
      <c r="M3" s="1722"/>
      <c r="N3" s="1722"/>
      <c r="O3" s="1722"/>
      <c r="P3" s="1722"/>
      <c r="Q3" s="1722"/>
      <c r="R3" s="1723">
        <v>2019</v>
      </c>
      <c r="S3" s="1723"/>
      <c r="T3" s="1724"/>
      <c r="U3" s="1724"/>
      <c r="V3" s="1724"/>
      <c r="W3" s="1724"/>
      <c r="X3" s="1724"/>
      <c r="Y3" s="1724"/>
      <c r="Z3" s="1725"/>
      <c r="AA3" s="53"/>
      <c r="AB3" s="53"/>
      <c r="AC3" s="53"/>
      <c r="AD3" s="109"/>
      <c r="AQ3" s="110"/>
    </row>
    <row r="4" spans="1:47" ht="27.75" customHeight="1" x14ac:dyDescent="0.25">
      <c r="A4" s="1809" t="s">
        <v>1</v>
      </c>
      <c r="B4" s="1693"/>
      <c r="C4" s="1694"/>
      <c r="D4" s="109"/>
      <c r="E4" s="109"/>
      <c r="F4" s="109"/>
      <c r="G4" s="109"/>
      <c r="H4" s="1705" t="s">
        <v>227</v>
      </c>
      <c r="I4" s="1706"/>
      <c r="J4" s="1706"/>
      <c r="K4" s="1706"/>
      <c r="L4" s="1706"/>
      <c r="M4" s="1706"/>
      <c r="N4" s="1706"/>
      <c r="O4" s="1706"/>
      <c r="P4" s="1706"/>
      <c r="Q4" s="1706"/>
      <c r="R4" s="1706"/>
      <c r="S4" s="1706"/>
      <c r="T4" s="1706"/>
      <c r="U4" s="1706"/>
      <c r="V4" s="1706"/>
      <c r="W4" s="1706"/>
      <c r="X4" s="1706"/>
      <c r="Y4" s="1706"/>
      <c r="Z4" s="1707"/>
      <c r="AA4" s="111"/>
      <c r="AB4" s="111"/>
      <c r="AC4" s="111"/>
      <c r="AD4" s="111"/>
      <c r="AQ4" s="110"/>
    </row>
    <row r="5" spans="1:47" s="114" customFormat="1" ht="27.75" customHeight="1" x14ac:dyDescent="0.25">
      <c r="A5" s="1809" t="s">
        <v>2</v>
      </c>
      <c r="B5" s="1693"/>
      <c r="C5" s="1694"/>
      <c r="D5" s="109"/>
      <c r="E5" s="109"/>
      <c r="F5" s="109"/>
      <c r="G5" s="109"/>
      <c r="H5" s="1708" t="s">
        <v>59</v>
      </c>
      <c r="I5" s="1709"/>
      <c r="J5" s="1709"/>
      <c r="K5" s="1709"/>
      <c r="L5" s="1709"/>
      <c r="M5" s="1709"/>
      <c r="N5" s="1709"/>
      <c r="O5" s="1709"/>
      <c r="P5" s="1709"/>
      <c r="Q5" s="1709"/>
      <c r="R5" s="1709"/>
      <c r="S5" s="1709"/>
      <c r="T5" s="1709"/>
      <c r="U5" s="1710"/>
      <c r="V5" s="1708" t="s">
        <v>4</v>
      </c>
      <c r="W5" s="1709"/>
      <c r="X5" s="1711" t="str">
        <f>IF(ISERROR(VLOOKUP($H$5,$C$82:$L$96,6,0))," ",VLOOKUP($H$5,$C$82:$L$96,6,0))</f>
        <v>PA02</v>
      </c>
      <c r="Y5" s="1711"/>
      <c r="Z5" s="1712"/>
      <c r="AA5" s="112"/>
      <c r="AB5" s="106"/>
      <c r="AC5" s="106"/>
      <c r="AD5" s="108"/>
      <c r="AE5" s="113"/>
      <c r="AF5" s="106"/>
      <c r="AG5" s="106"/>
      <c r="AH5" s="106"/>
      <c r="AQ5" s="115"/>
    </row>
    <row r="6" spans="1:47" s="114" customFormat="1" ht="27.75" customHeight="1" x14ac:dyDescent="0.25">
      <c r="A6" s="1809" t="s">
        <v>5</v>
      </c>
      <c r="B6" s="1693"/>
      <c r="C6" s="1694"/>
      <c r="D6" s="109"/>
      <c r="E6" s="109"/>
      <c r="F6" s="109"/>
      <c r="G6" s="109"/>
      <c r="H6" s="1695"/>
      <c r="I6" s="1793"/>
      <c r="J6" s="1793"/>
      <c r="K6" s="1793"/>
      <c r="L6" s="1793"/>
      <c r="M6" s="1793"/>
      <c r="N6" s="1793"/>
      <c r="O6" s="1793"/>
      <c r="P6" s="1793"/>
      <c r="Q6" s="1793"/>
      <c r="R6" s="1793"/>
      <c r="S6" s="1793"/>
      <c r="T6" s="1793"/>
      <c r="U6" s="1793"/>
      <c r="V6" s="1793"/>
      <c r="W6" s="1793"/>
      <c r="X6" s="1793"/>
      <c r="Y6" s="1793"/>
      <c r="Z6" s="1794"/>
      <c r="AA6" s="106"/>
      <c r="AB6" s="106"/>
      <c r="AC6" s="116"/>
      <c r="AD6" s="108"/>
      <c r="AE6" s="113"/>
      <c r="AF6" s="111"/>
      <c r="AG6" s="111"/>
      <c r="AH6" s="111"/>
      <c r="AI6" s="111"/>
      <c r="AJ6" s="111"/>
      <c r="AK6" s="111"/>
      <c r="AL6" s="111"/>
      <c r="AM6" s="111"/>
      <c r="AN6" s="111"/>
      <c r="AO6" s="111"/>
      <c r="AP6" s="111"/>
      <c r="AQ6" s="117"/>
      <c r="AR6" s="111"/>
      <c r="AS6" s="111"/>
      <c r="AT6" s="111"/>
      <c r="AU6" s="111"/>
    </row>
    <row r="7" spans="1:47" s="114" customFormat="1" ht="27.75" customHeight="1" thickBot="1" x14ac:dyDescent="0.3">
      <c r="A7" s="1698" t="s">
        <v>6</v>
      </c>
      <c r="B7" s="1693"/>
      <c r="C7" s="1694"/>
      <c r="D7" s="109"/>
      <c r="E7" s="109"/>
      <c r="F7" s="109"/>
      <c r="G7" s="109"/>
      <c r="H7" s="1701" t="s">
        <v>238</v>
      </c>
      <c r="I7" s="1702"/>
      <c r="J7" s="1702"/>
      <c r="K7" s="1702"/>
      <c r="L7" s="1702"/>
      <c r="M7" s="1702"/>
      <c r="N7" s="1702"/>
      <c r="O7" s="1702"/>
      <c r="P7" s="1702"/>
      <c r="Q7" s="1702"/>
      <c r="R7" s="1702"/>
      <c r="S7" s="1702"/>
      <c r="T7" s="1702"/>
      <c r="U7" s="1702"/>
      <c r="V7" s="1703" t="s">
        <v>7</v>
      </c>
      <c r="W7" s="1704"/>
      <c r="X7" s="1704"/>
      <c r="Y7" s="1704"/>
      <c r="Z7" s="119">
        <f>SUM(Z11:Z11)</f>
        <v>0.255</v>
      </c>
      <c r="AA7" s="106"/>
      <c r="AB7" s="106"/>
      <c r="AC7" s="106"/>
      <c r="AD7" s="106"/>
      <c r="AF7" s="106"/>
      <c r="AG7" s="106"/>
      <c r="AH7" s="106"/>
      <c r="AQ7" s="115"/>
    </row>
    <row r="8" spans="1:47" s="114" customFormat="1" ht="20.25" customHeight="1" thickBot="1" x14ac:dyDescent="0.3">
      <c r="A8" s="1730" t="s">
        <v>8</v>
      </c>
      <c r="B8" s="1748" t="s">
        <v>9</v>
      </c>
      <c r="C8" s="1760" t="s">
        <v>668</v>
      </c>
      <c r="D8" s="1763" t="s">
        <v>289</v>
      </c>
      <c r="E8" s="1813" t="s">
        <v>285</v>
      </c>
      <c r="F8" s="1760" t="s">
        <v>253</v>
      </c>
      <c r="G8" s="1852" t="s">
        <v>241</v>
      </c>
      <c r="H8" s="1849" t="s">
        <v>296</v>
      </c>
      <c r="I8" s="1760" t="s">
        <v>12</v>
      </c>
      <c r="J8" s="1754" t="s">
        <v>13</v>
      </c>
      <c r="K8" s="1757" t="s">
        <v>14</v>
      </c>
      <c r="L8" s="1758"/>
      <c r="M8" s="1758"/>
      <c r="N8" s="1758"/>
      <c r="O8" s="1758"/>
      <c r="P8" s="1758"/>
      <c r="Q8" s="1758"/>
      <c r="R8" s="1758"/>
      <c r="S8" s="1758"/>
      <c r="T8" s="1758"/>
      <c r="U8" s="1758"/>
      <c r="V8" s="1758"/>
      <c r="W8" s="1758"/>
      <c r="X8" s="1758"/>
      <c r="Y8" s="1759"/>
      <c r="Z8" s="1742" t="s">
        <v>15</v>
      </c>
      <c r="AA8" s="1678" t="s">
        <v>16</v>
      </c>
      <c r="AB8" s="1803"/>
      <c r="AC8" s="1803"/>
      <c r="AD8" s="1846"/>
      <c r="AE8" s="1731" t="s">
        <v>17</v>
      </c>
      <c r="AF8" s="1810" t="s">
        <v>18</v>
      </c>
      <c r="AG8" s="1807"/>
      <c r="AH8" s="1808"/>
      <c r="AI8" s="1810" t="s">
        <v>19</v>
      </c>
      <c r="AJ8" s="1807"/>
      <c r="AK8" s="1808"/>
      <c r="AL8" s="1810" t="s">
        <v>20</v>
      </c>
      <c r="AM8" s="1807"/>
      <c r="AN8" s="1808"/>
      <c r="AO8" s="1810" t="s">
        <v>21</v>
      </c>
      <c r="AP8" s="1807"/>
      <c r="AQ8" s="1718"/>
      <c r="AR8" s="1861" t="s">
        <v>706</v>
      </c>
      <c r="AS8" s="1852" t="s">
        <v>718</v>
      </c>
    </row>
    <row r="9" spans="1:47" s="114" customFormat="1" ht="21" customHeight="1" x14ac:dyDescent="0.25">
      <c r="A9" s="1847"/>
      <c r="B9" s="1749"/>
      <c r="C9" s="1761"/>
      <c r="D9" s="1764"/>
      <c r="E9" s="1749"/>
      <c r="F9" s="1761"/>
      <c r="G9" s="1853"/>
      <c r="H9" s="1850"/>
      <c r="I9" s="1761"/>
      <c r="J9" s="1755"/>
      <c r="K9" s="1738" t="s">
        <v>22</v>
      </c>
      <c r="L9" s="1736"/>
      <c r="M9" s="1739"/>
      <c r="N9" s="1727" t="s">
        <v>23</v>
      </c>
      <c r="O9" s="1736"/>
      <c r="P9" s="1737"/>
      <c r="Q9" s="1678" t="s">
        <v>24</v>
      </c>
      <c r="R9" s="1803"/>
      <c r="S9" s="1804"/>
      <c r="T9" s="1678" t="s">
        <v>25</v>
      </c>
      <c r="U9" s="1803"/>
      <c r="V9" s="1804"/>
      <c r="W9" s="1727" t="s">
        <v>26</v>
      </c>
      <c r="X9" s="1736"/>
      <c r="Y9" s="1739"/>
      <c r="Z9" s="1743"/>
      <c r="AA9" s="1740" t="s">
        <v>27</v>
      </c>
      <c r="AB9" s="1737" t="s">
        <v>28</v>
      </c>
      <c r="AC9" s="1727"/>
      <c r="AD9" s="1734" t="s">
        <v>29</v>
      </c>
      <c r="AE9" s="1732"/>
      <c r="AF9" s="1726" t="s">
        <v>30</v>
      </c>
      <c r="AG9" s="1727"/>
      <c r="AH9" s="1728" t="s">
        <v>31</v>
      </c>
      <c r="AI9" s="1726" t="s">
        <v>30</v>
      </c>
      <c r="AJ9" s="1727"/>
      <c r="AK9" s="1728" t="s">
        <v>31</v>
      </c>
      <c r="AL9" s="1726" t="s">
        <v>30</v>
      </c>
      <c r="AM9" s="1727"/>
      <c r="AN9" s="1728" t="s">
        <v>31</v>
      </c>
      <c r="AO9" s="1726" t="s">
        <v>30</v>
      </c>
      <c r="AP9" s="1727"/>
      <c r="AQ9" s="1734" t="s">
        <v>31</v>
      </c>
      <c r="AR9" s="1862"/>
      <c r="AS9" s="1853"/>
    </row>
    <row r="10" spans="1:47" s="114" customFormat="1" ht="24.75" customHeight="1" thickBot="1" x14ac:dyDescent="0.3">
      <c r="A10" s="1848"/>
      <c r="B10" s="1750"/>
      <c r="C10" s="1762"/>
      <c r="D10" s="1816"/>
      <c r="E10" s="1750"/>
      <c r="F10" s="1762"/>
      <c r="G10" s="1854"/>
      <c r="H10" s="1851"/>
      <c r="I10" s="1762"/>
      <c r="J10" s="1799"/>
      <c r="K10" s="645" t="s">
        <v>32</v>
      </c>
      <c r="L10" s="126" t="s">
        <v>33</v>
      </c>
      <c r="M10" s="605" t="s">
        <v>34</v>
      </c>
      <c r="N10" s="123" t="s">
        <v>32</v>
      </c>
      <c r="O10" s="121" t="s">
        <v>33</v>
      </c>
      <c r="P10" s="124" t="s">
        <v>34</v>
      </c>
      <c r="Q10" s="681" t="s">
        <v>32</v>
      </c>
      <c r="R10" s="486" t="s">
        <v>33</v>
      </c>
      <c r="S10" s="122" t="s">
        <v>34</v>
      </c>
      <c r="T10" s="681" t="s">
        <v>32</v>
      </c>
      <c r="U10" s="486" t="s">
        <v>33</v>
      </c>
      <c r="V10" s="682" t="s">
        <v>34</v>
      </c>
      <c r="W10" s="123" t="s">
        <v>35</v>
      </c>
      <c r="X10" s="121" t="s">
        <v>36</v>
      </c>
      <c r="Y10" s="125" t="s">
        <v>34</v>
      </c>
      <c r="Z10" s="1744"/>
      <c r="AA10" s="1741"/>
      <c r="AB10" s="121" t="s">
        <v>37</v>
      </c>
      <c r="AC10" s="121" t="s">
        <v>38</v>
      </c>
      <c r="AD10" s="1735"/>
      <c r="AE10" s="1733"/>
      <c r="AF10" s="120" t="s">
        <v>37</v>
      </c>
      <c r="AG10" s="121" t="s">
        <v>38</v>
      </c>
      <c r="AH10" s="1729"/>
      <c r="AI10" s="120" t="s">
        <v>37</v>
      </c>
      <c r="AJ10" s="121" t="s">
        <v>38</v>
      </c>
      <c r="AK10" s="1729"/>
      <c r="AL10" s="120" t="s">
        <v>37</v>
      </c>
      <c r="AM10" s="121" t="s">
        <v>38</v>
      </c>
      <c r="AN10" s="1729"/>
      <c r="AO10" s="120" t="s">
        <v>37</v>
      </c>
      <c r="AP10" s="121" t="s">
        <v>38</v>
      </c>
      <c r="AQ10" s="1735"/>
      <c r="AR10" s="1863"/>
      <c r="AS10" s="1864"/>
    </row>
    <row r="11" spans="1:47" s="114" customFormat="1" ht="120" customHeight="1" thickBot="1" x14ac:dyDescent="0.3">
      <c r="A11" s="1665" t="s">
        <v>598</v>
      </c>
      <c r="B11" s="1843">
        <v>8</v>
      </c>
      <c r="C11" s="1840" t="s">
        <v>251</v>
      </c>
      <c r="D11" s="1818">
        <v>0.5</v>
      </c>
      <c r="E11" s="201" t="s">
        <v>561</v>
      </c>
      <c r="F11" s="649" t="s">
        <v>732</v>
      </c>
      <c r="G11" s="776">
        <v>1751</v>
      </c>
      <c r="H11" s="782">
        <v>0.34</v>
      </c>
      <c r="I11" s="651" t="s">
        <v>39</v>
      </c>
      <c r="J11" s="213" t="s">
        <v>106</v>
      </c>
      <c r="K11" s="797">
        <v>1</v>
      </c>
      <c r="L11" s="649">
        <f>IF(I11="Cantidad",AF11,IF(ISERROR(AF11/AG11),0,AF11/AG11))</f>
        <v>1</v>
      </c>
      <c r="M11" s="128">
        <f>IF(ISERROR(L11/K11),0,(L11/K11))</f>
        <v>1</v>
      </c>
      <c r="N11" s="777">
        <v>1</v>
      </c>
      <c r="O11" s="1296">
        <f>IF(L11="Cantidad",AI11,IF(ISERROR(AI11/AJ11),0,AI11/AJ11))</f>
        <v>1</v>
      </c>
      <c r="P11" s="606">
        <f>IF(ISERROR(O11/N11),0,(O11/N11))</f>
        <v>1</v>
      </c>
      <c r="Q11" s="797">
        <v>1</v>
      </c>
      <c r="R11" s="1408">
        <f>IF(I11="Cantidad",AL11,IF(ISERROR(AL11/AM11),0,AL11/AM11))</f>
        <v>1</v>
      </c>
      <c r="S11" s="128">
        <f>IF(ISERROR(R11/Q11),0,(R11/Q11))</f>
        <v>1</v>
      </c>
      <c r="T11" s="797">
        <v>1</v>
      </c>
      <c r="U11" s="649">
        <f>IF(I11="Cantidad",AO11,IF(ISERROR(AO11/AP11),0,AO11/AP11))</f>
        <v>0</v>
      </c>
      <c r="V11" s="128">
        <f>IF(ISERROR(U11/T11),0,(U11/T11))</f>
        <v>0</v>
      </c>
      <c r="W11" s="777">
        <f>IF(J11="SUMA",(K11+N11+Q11+T11),(K11))</f>
        <v>1</v>
      </c>
      <c r="X11" s="649">
        <f>IF(ISERROR(AVERAGE(L11,O11,R11,U11)),0,IF(J11="Suma",(L11+O11+R11+U11),AVERAGE(L11,O11,R11,U11)))</f>
        <v>0.75</v>
      </c>
      <c r="Y11" s="778">
        <f>IF(ISERROR(X11/W11),0,(X11/W11))</f>
        <v>0.75</v>
      </c>
      <c r="Z11" s="779">
        <f>+Y11*H11</f>
        <v>0.255</v>
      </c>
      <c r="AA11" s="131" t="s">
        <v>534</v>
      </c>
      <c r="AB11" s="642" t="s">
        <v>535</v>
      </c>
      <c r="AC11" s="642" t="s">
        <v>536</v>
      </c>
      <c r="AD11" s="399" t="s">
        <v>43</v>
      </c>
      <c r="AE11" s="400" t="s">
        <v>357</v>
      </c>
      <c r="AF11" s="335">
        <v>237</v>
      </c>
      <c r="AG11" s="649">
        <v>237</v>
      </c>
      <c r="AH11" s="134"/>
      <c r="AI11" s="783">
        <v>328</v>
      </c>
      <c r="AJ11" s="136">
        <v>328</v>
      </c>
      <c r="AK11" s="137"/>
      <c r="AL11" s="783">
        <v>351</v>
      </c>
      <c r="AM11" s="136">
        <v>351</v>
      </c>
      <c r="AN11" s="138"/>
      <c r="AO11" s="783"/>
      <c r="AP11" s="136"/>
      <c r="AQ11" s="138"/>
      <c r="AR11" s="1855" t="s">
        <v>59</v>
      </c>
      <c r="AS11" s="1858">
        <f>(SUM(Z11:Z13)*0.5)+(Z14*0.5)</f>
        <v>1.0331680106056622</v>
      </c>
    </row>
    <row r="12" spans="1:47" s="114" customFormat="1" ht="110.25" customHeight="1" thickBot="1" x14ac:dyDescent="0.3">
      <c r="A12" s="1667"/>
      <c r="B12" s="1844"/>
      <c r="C12" s="1841"/>
      <c r="D12" s="1819"/>
      <c r="E12" s="203" t="s">
        <v>725</v>
      </c>
      <c r="F12" s="650" t="s">
        <v>733</v>
      </c>
      <c r="G12" s="875">
        <v>143</v>
      </c>
      <c r="H12" s="873">
        <v>0.33</v>
      </c>
      <c r="I12" s="652" t="s">
        <v>39</v>
      </c>
      <c r="J12" s="214" t="s">
        <v>106</v>
      </c>
      <c r="K12" s="763">
        <v>1</v>
      </c>
      <c r="L12" s="650">
        <f t="shared" ref="L12:L13" si="0">IF(I12="Cantidad",AF12,IF(ISERROR(AF12/AG12),0,AF12/AG12))</f>
        <v>1</v>
      </c>
      <c r="M12" s="190">
        <f t="shared" ref="M12:M13" si="1">IF(ISERROR(L12/K12),0,(L12/K12))</f>
        <v>1</v>
      </c>
      <c r="N12" s="777">
        <v>1</v>
      </c>
      <c r="O12" s="1296">
        <f t="shared" ref="O12:O13" si="2">IF(L12="Cantidad",AI12,IF(ISERROR(AI12/AJ12),0,AI12/AJ12))</f>
        <v>1</v>
      </c>
      <c r="P12" s="606">
        <f t="shared" ref="P12:P14" si="3">IF(ISERROR(O12/N12),0,(O12/N12))</f>
        <v>1</v>
      </c>
      <c r="Q12" s="797">
        <v>1</v>
      </c>
      <c r="R12" s="1408">
        <f t="shared" ref="R12:R13" si="4">IF(I12="Cantidad",AL12,IF(ISERROR(AL12/AM12),0,AL12/AM12))</f>
        <v>1</v>
      </c>
      <c r="S12" s="128">
        <f t="shared" ref="S12:S13" si="5">IF(ISERROR(R12/Q12),0,(R12/Q12))</f>
        <v>1</v>
      </c>
      <c r="T12" s="797">
        <v>1</v>
      </c>
      <c r="U12" s="649">
        <f t="shared" ref="U12:U13" si="6">IF(I12="Cantidad",AO12,IF(ISERROR(AO12/AP12),0,AO12/AP12))</f>
        <v>0</v>
      </c>
      <c r="V12" s="128">
        <f t="shared" ref="V12:V13" si="7">IF(ISERROR(U12/T12),0,(U12/T12))</f>
        <v>0</v>
      </c>
      <c r="W12" s="777">
        <f t="shared" ref="W12:W13" si="8">IF(J12="SUMA",(K12+N12+Q12+T12),(K12))</f>
        <v>1</v>
      </c>
      <c r="X12" s="649">
        <f t="shared" ref="X12:X13" si="9">IF(ISERROR(AVERAGE(L12,O12,R12,U12)),0,IF(J12="Suma",(L12+O12+R12+U12),AVERAGE(L12,O12,R12,U12)))</f>
        <v>0.75</v>
      </c>
      <c r="Y12" s="778">
        <f t="shared" ref="Y12:Y13" si="10">IF(ISERROR(X12/W12),0,(X12/W12))</f>
        <v>0.75</v>
      </c>
      <c r="Z12" s="779">
        <f t="shared" ref="Z12:Z13" si="11">+Y12*H12</f>
        <v>0.2475</v>
      </c>
      <c r="AA12" s="131" t="s">
        <v>534</v>
      </c>
      <c r="AB12" s="642" t="s">
        <v>535</v>
      </c>
      <c r="AC12" s="642" t="s">
        <v>536</v>
      </c>
      <c r="AD12" s="399" t="s">
        <v>43</v>
      </c>
      <c r="AE12" s="400" t="s">
        <v>357</v>
      </c>
      <c r="AF12" s="646">
        <v>66</v>
      </c>
      <c r="AG12" s="140">
        <v>66</v>
      </c>
      <c r="AH12" s="850"/>
      <c r="AI12" s="851">
        <v>90</v>
      </c>
      <c r="AJ12" s="852">
        <v>90</v>
      </c>
      <c r="AK12" s="853"/>
      <c r="AL12" s="851">
        <v>21</v>
      </c>
      <c r="AM12" s="852">
        <v>21</v>
      </c>
      <c r="AN12" s="854"/>
      <c r="AO12" s="851"/>
      <c r="AP12" s="852"/>
      <c r="AQ12" s="854"/>
      <c r="AR12" s="1856"/>
      <c r="AS12" s="1859"/>
    </row>
    <row r="13" spans="1:47" s="114" customFormat="1" ht="89.25" customHeight="1" thickBot="1" x14ac:dyDescent="0.3">
      <c r="A13" s="1682"/>
      <c r="B13" s="1845"/>
      <c r="C13" s="1842"/>
      <c r="D13" s="1820"/>
      <c r="E13" s="205" t="s">
        <v>737</v>
      </c>
      <c r="F13" s="486" t="s">
        <v>734</v>
      </c>
      <c r="G13" s="876">
        <v>410</v>
      </c>
      <c r="H13" s="874">
        <v>0.33</v>
      </c>
      <c r="I13" s="770" t="s">
        <v>39</v>
      </c>
      <c r="J13" s="217" t="s">
        <v>106</v>
      </c>
      <c r="K13" s="169">
        <v>1</v>
      </c>
      <c r="L13" s="486">
        <f t="shared" si="0"/>
        <v>1</v>
      </c>
      <c r="M13" s="158">
        <f t="shared" si="1"/>
        <v>1</v>
      </c>
      <c r="N13" s="859">
        <v>1</v>
      </c>
      <c r="O13" s="1339">
        <f t="shared" si="2"/>
        <v>1</v>
      </c>
      <c r="P13" s="158">
        <f t="shared" si="3"/>
        <v>1</v>
      </c>
      <c r="Q13" s="877">
        <v>1</v>
      </c>
      <c r="R13" s="1339">
        <f t="shared" si="4"/>
        <v>1</v>
      </c>
      <c r="S13" s="639">
        <f t="shared" si="5"/>
        <v>1</v>
      </c>
      <c r="T13" s="877">
        <v>1</v>
      </c>
      <c r="U13" s="755">
        <f t="shared" si="6"/>
        <v>0</v>
      </c>
      <c r="V13" s="639">
        <f t="shared" si="7"/>
        <v>0</v>
      </c>
      <c r="W13" s="859">
        <f t="shared" si="8"/>
        <v>1</v>
      </c>
      <c r="X13" s="755">
        <f t="shared" si="9"/>
        <v>0.75</v>
      </c>
      <c r="Y13" s="860">
        <f t="shared" si="10"/>
        <v>0.75</v>
      </c>
      <c r="Z13" s="861">
        <f t="shared" si="11"/>
        <v>0.2475</v>
      </c>
      <c r="AA13" s="862" t="s">
        <v>534</v>
      </c>
      <c r="AB13" s="633" t="s">
        <v>535</v>
      </c>
      <c r="AC13" s="633" t="s">
        <v>536</v>
      </c>
      <c r="AD13" s="863" t="s">
        <v>43</v>
      </c>
      <c r="AE13" s="864" t="s">
        <v>357</v>
      </c>
      <c r="AF13" s="865">
        <v>48</v>
      </c>
      <c r="AG13" s="170">
        <v>48</v>
      </c>
      <c r="AH13" s="866"/>
      <c r="AI13" s="867">
        <v>25</v>
      </c>
      <c r="AJ13" s="868">
        <v>25</v>
      </c>
      <c r="AK13" s="869"/>
      <c r="AL13" s="867">
        <v>20</v>
      </c>
      <c r="AM13" s="868">
        <v>20</v>
      </c>
      <c r="AN13" s="870"/>
      <c r="AO13" s="867"/>
      <c r="AP13" s="868"/>
      <c r="AQ13" s="870"/>
      <c r="AR13" s="1856"/>
      <c r="AS13" s="1859"/>
    </row>
    <row r="14" spans="1:47" s="114" customFormat="1" ht="173.25" thickBot="1" x14ac:dyDescent="0.3">
      <c r="A14" s="522" t="s">
        <v>598</v>
      </c>
      <c r="B14" s="711">
        <v>9</v>
      </c>
      <c r="C14" s="518" t="s">
        <v>664</v>
      </c>
      <c r="D14" s="525">
        <v>0.5</v>
      </c>
      <c r="E14" s="660" t="s">
        <v>562</v>
      </c>
      <c r="F14" s="519" t="s">
        <v>711</v>
      </c>
      <c r="G14" s="871">
        <v>0.90429999999999999</v>
      </c>
      <c r="H14" s="780">
        <v>1</v>
      </c>
      <c r="I14" s="872" t="s">
        <v>39</v>
      </c>
      <c r="J14" s="702" t="s">
        <v>40</v>
      </c>
      <c r="K14" s="781">
        <v>0.78</v>
      </c>
      <c r="L14" s="525">
        <f t="shared" ref="L14" si="12">IF(I14="Cantidad",AF14,IF(ISERROR(AF14/AG14),0,AF14/AG14))</f>
        <v>0.44559551037477346</v>
      </c>
      <c r="M14" s="858">
        <f t="shared" ref="M14" si="13">IF(ISERROR(L14/K14),0,(L14/K14))</f>
        <v>0.57127629535227364</v>
      </c>
      <c r="N14" s="720">
        <v>0.185</v>
      </c>
      <c r="O14" s="525">
        <f>IF(L14="Cantidad",AI14,IF(ISERROR(AI14/AJ14),0,AI14/AJ14))</f>
        <v>0.86415883073049449</v>
      </c>
      <c r="P14" s="858">
        <f t="shared" si="3"/>
        <v>4.6711288147594301</v>
      </c>
      <c r="Q14" s="720">
        <v>1.4999999999999999E-2</v>
      </c>
      <c r="R14" s="657">
        <f t="shared" ref="R14" si="14">IF(I14="Cantidad",AL14,IF(ISERROR(AL14/AM14),0,AL14/AM14))</f>
        <v>0</v>
      </c>
      <c r="S14" s="658">
        <f t="shared" ref="S14" si="15">IF(ISERROR(R14/Q14),0,(R14/Q14))</f>
        <v>0</v>
      </c>
      <c r="T14" s="720">
        <v>1.4999999999999999E-2</v>
      </c>
      <c r="U14" s="657">
        <f t="shared" ref="U14" si="16">IF(I14="Cantidad",AO14,IF(ISERROR(AO14/AP14),0,AO14/AP14))</f>
        <v>0</v>
      </c>
      <c r="V14" s="658">
        <f t="shared" ref="V14" si="17">IF(ISERROR(U14/T14),0,(U14/T14))</f>
        <v>0</v>
      </c>
      <c r="W14" s="781">
        <f t="shared" ref="W14" si="18">IF(J14="SUMA",(K14+N14+Q14+T14),(K14))</f>
        <v>0.99500000000000011</v>
      </c>
      <c r="X14" s="657">
        <f t="shared" ref="X14" si="19">IF(ISERROR(AVERAGE(L14,O14,R14,U14)),0,IF(J14="Suma",(L14+O14+R14+U14),AVERAGE(L14,O14,R14,U14)))</f>
        <v>1.3097543411052679</v>
      </c>
      <c r="Y14" s="658">
        <f t="shared" ref="Y14" si="20">IF(ISERROR(X14/W14),0,(X14/W14))</f>
        <v>1.3163360212113244</v>
      </c>
      <c r="Z14" s="744">
        <f t="shared" ref="Z14" si="21">+Y14*H14</f>
        <v>1.3163360212113244</v>
      </c>
      <c r="AA14" s="659" t="s">
        <v>712</v>
      </c>
      <c r="AB14" s="660" t="s">
        <v>713</v>
      </c>
      <c r="AC14" s="660" t="s">
        <v>714</v>
      </c>
      <c r="AD14" s="784" t="s">
        <v>43</v>
      </c>
      <c r="AE14" s="785" t="s">
        <v>322</v>
      </c>
      <c r="AF14" s="728">
        <v>7340374604</v>
      </c>
      <c r="AG14" s="729">
        <v>16473179000</v>
      </c>
      <c r="AH14" s="786"/>
      <c r="AI14" s="879">
        <v>5685507827</v>
      </c>
      <c r="AJ14" s="729">
        <v>6579239400</v>
      </c>
      <c r="AK14" s="296"/>
      <c r="AL14" s="879"/>
      <c r="AM14" s="729">
        <v>296968000</v>
      </c>
      <c r="AN14" s="296"/>
      <c r="AO14" s="787"/>
      <c r="AP14" s="729">
        <v>302022500</v>
      </c>
      <c r="AQ14" s="296"/>
      <c r="AR14" s="1857"/>
      <c r="AS14" s="1860"/>
    </row>
    <row r="15" spans="1:47" s="114" customFormat="1" x14ac:dyDescent="0.25">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F15" s="106"/>
      <c r="AG15" s="106"/>
      <c r="AH15" s="106"/>
    </row>
    <row r="16" spans="1:47" s="114" customFormat="1" ht="18" thickBot="1" x14ac:dyDescent="0.3">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F16" s="878">
        <f>+AF14</f>
        <v>7340374604</v>
      </c>
      <c r="AG16" s="855">
        <f>+AG14</f>
        <v>16473179000</v>
      </c>
      <c r="AH16" s="106"/>
      <c r="AI16" s="878">
        <v>8000000000</v>
      </c>
      <c r="AJ16" s="878">
        <f>+AJ14+(AG16-AF14)</f>
        <v>15712043796</v>
      </c>
      <c r="AL16" s="878">
        <v>3000000000</v>
      </c>
      <c r="AM16" s="878">
        <f>+AM14+(AJ16-AI14)</f>
        <v>10323503969</v>
      </c>
      <c r="AN16" s="857"/>
      <c r="AO16" s="878">
        <v>2000000000</v>
      </c>
      <c r="AP16" s="878">
        <f>+AP14+(AM16-AL14)</f>
        <v>10625526469</v>
      </c>
      <c r="AQ16" s="729">
        <f>+AG16+AJ16+AM16+AP16</f>
        <v>53134253234</v>
      </c>
    </row>
    <row r="17" spans="1:43" s="114" customFormat="1" x14ac:dyDescent="0.25">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F17" s="106"/>
      <c r="AG17" s="855">
        <f>+AG16-AF16</f>
        <v>9132804396</v>
      </c>
      <c r="AH17" s="106"/>
      <c r="AJ17" s="856">
        <f>+AJ16-AI16</f>
        <v>7712043796</v>
      </c>
      <c r="AM17" s="856">
        <f>+AM16-AL16</f>
        <v>7323503969</v>
      </c>
      <c r="AP17" s="856">
        <f>+AP16-AO16</f>
        <v>8625526469</v>
      </c>
    </row>
    <row r="18" spans="1:43" s="114" customFormat="1" x14ac:dyDescent="0.25">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F18" s="106"/>
      <c r="AG18" s="855">
        <f>+AG16-AF16</f>
        <v>9132804396</v>
      </c>
      <c r="AH18" s="106"/>
      <c r="AJ18" s="856">
        <f>+AJ16-AI16</f>
        <v>7712043796</v>
      </c>
      <c r="AM18" s="856">
        <f>+AM16-AL16</f>
        <v>7323503969</v>
      </c>
      <c r="AP18" s="856">
        <f>+AP16-AO16</f>
        <v>8625526469</v>
      </c>
      <c r="AQ18" s="856">
        <f>+AG18+AJ18+AM18+AP18</f>
        <v>32793878630</v>
      </c>
    </row>
    <row r="19" spans="1:43" s="114" customFormat="1" x14ac:dyDescent="0.25">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G19" s="106"/>
      <c r="AH19" s="106"/>
      <c r="AJ19" s="856">
        <f>+AJ16-AI16</f>
        <v>7712043796</v>
      </c>
      <c r="AP19" s="880">
        <f>+AG14+AJ14+AP14+AM14</f>
        <v>23651408900</v>
      </c>
      <c r="AQ19" s="856">
        <f>+AQ16-AQ18</f>
        <v>20340374604</v>
      </c>
    </row>
    <row r="20" spans="1:43" s="114" customFormat="1" x14ac:dyDescent="0.25">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F20" s="855">
        <f>+AF16</f>
        <v>7340374604</v>
      </c>
      <c r="AG20" s="106"/>
      <c r="AH20" s="106"/>
      <c r="AJ20" s="856">
        <f>+AJ16</f>
        <v>15712043796</v>
      </c>
      <c r="AM20" s="856">
        <f>+AM14</f>
        <v>296968000</v>
      </c>
      <c r="AP20" s="856">
        <f>+AP14</f>
        <v>302022500</v>
      </c>
      <c r="AQ20" s="856">
        <f>SUM(AF20:AP20)</f>
        <v>23651408900</v>
      </c>
    </row>
    <row r="21" spans="1:43" s="114" customFormat="1" x14ac:dyDescent="0.25">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F21" s="106"/>
      <c r="AG21" s="106"/>
      <c r="AH21" s="106"/>
    </row>
    <row r="22" spans="1:43" s="114" customFormat="1" x14ac:dyDescent="0.25">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F22" s="106"/>
      <c r="AG22" s="106"/>
      <c r="AH22" s="106"/>
    </row>
    <row r="23" spans="1:43" s="114" customFormat="1" x14ac:dyDescent="0.25">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F23" s="106"/>
      <c r="AG23" s="106"/>
      <c r="AH23" s="106"/>
    </row>
    <row r="24" spans="1:43" s="114" customFormat="1" x14ac:dyDescent="0.25">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F24" s="106"/>
      <c r="AG24" s="106"/>
      <c r="AH24" s="106"/>
    </row>
    <row r="25" spans="1:43" s="114" customFormat="1" x14ac:dyDescent="0.25">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F25" s="106"/>
      <c r="AG25" s="106"/>
      <c r="AH25" s="106"/>
    </row>
    <row r="26" spans="1:43" s="114" customFormat="1" x14ac:dyDescent="0.2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F26" s="106"/>
      <c r="AG26" s="106"/>
      <c r="AH26" s="106"/>
    </row>
    <row r="27" spans="1:43" s="114" customFormat="1" x14ac:dyDescent="0.25">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F27" s="106"/>
      <c r="AG27" s="106"/>
      <c r="AH27" s="106"/>
    </row>
    <row r="28" spans="1:43" s="114" customFormat="1" x14ac:dyDescent="0.25">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F28" s="106"/>
      <c r="AG28" s="106"/>
      <c r="AH28" s="106"/>
    </row>
    <row r="29" spans="1:43" s="114" customFormat="1" x14ac:dyDescent="0.25">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F29" s="106"/>
      <c r="AG29" s="106"/>
      <c r="AH29" s="106"/>
    </row>
    <row r="30" spans="1:43" s="114" customFormat="1" x14ac:dyDescent="0.2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F30" s="106"/>
      <c r="AG30" s="106"/>
      <c r="AH30" s="106"/>
    </row>
    <row r="31" spans="1:43" s="114" customFormat="1" x14ac:dyDescent="0.2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F31" s="106"/>
      <c r="AG31" s="106"/>
      <c r="AH31" s="106"/>
    </row>
    <row r="32" spans="1:43" s="114" customFormat="1" x14ac:dyDescent="0.2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F32" s="106"/>
      <c r="AG32" s="106"/>
      <c r="AH32" s="106"/>
    </row>
    <row r="33" spans="1:34" s="114" customFormat="1" x14ac:dyDescent="0.25">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F33" s="106"/>
      <c r="AG33" s="106"/>
      <c r="AH33" s="106"/>
    </row>
    <row r="34" spans="1:34" s="114" customFormat="1" x14ac:dyDescent="0.2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F34" s="106"/>
      <c r="AG34" s="106"/>
      <c r="AH34" s="106"/>
    </row>
    <row r="35" spans="1:34" s="114" customFormat="1" x14ac:dyDescent="0.25">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F35" s="106"/>
      <c r="AG35" s="106"/>
      <c r="AH35" s="106"/>
    </row>
    <row r="36" spans="1:34" s="114" customFormat="1" x14ac:dyDescent="0.25">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F36" s="106"/>
      <c r="AG36" s="106"/>
      <c r="AH36" s="106"/>
    </row>
    <row r="37" spans="1:34" s="114" customFormat="1" x14ac:dyDescent="0.25">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F37" s="106"/>
      <c r="AG37" s="106"/>
      <c r="AH37" s="106"/>
    </row>
    <row r="38" spans="1:34" s="114" customFormat="1" x14ac:dyDescent="0.2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F38" s="106"/>
      <c r="AG38" s="106"/>
      <c r="AH38" s="106"/>
    </row>
    <row r="39" spans="1:34" s="114" customFormat="1" x14ac:dyDescent="0.2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F39" s="106"/>
      <c r="AG39" s="106"/>
      <c r="AH39" s="106"/>
    </row>
    <row r="40" spans="1:34" s="114" customFormat="1" x14ac:dyDescent="0.2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F40" s="106"/>
      <c r="AG40" s="106"/>
      <c r="AH40" s="106"/>
    </row>
    <row r="41" spans="1:34" s="114" customFormat="1" x14ac:dyDescent="0.25">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F41" s="106"/>
      <c r="AG41" s="106"/>
      <c r="AH41" s="106"/>
    </row>
    <row r="42" spans="1:34" s="114" customFormat="1" x14ac:dyDescent="0.25">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F42" s="106"/>
      <c r="AG42" s="106"/>
      <c r="AH42" s="106"/>
    </row>
    <row r="43" spans="1:34" s="114" customFormat="1" x14ac:dyDescent="0.25">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F43" s="106"/>
      <c r="AG43" s="106"/>
      <c r="AH43" s="106"/>
    </row>
    <row r="44" spans="1:34" s="114" customFormat="1" x14ac:dyDescent="0.25">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F44" s="106"/>
      <c r="AG44" s="106"/>
      <c r="AH44" s="106"/>
    </row>
    <row r="45" spans="1:34" s="114" customFormat="1" x14ac:dyDescent="0.2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F45" s="106"/>
      <c r="AG45" s="106"/>
      <c r="AH45" s="106"/>
    </row>
    <row r="46" spans="1:34" s="114" customFormat="1" x14ac:dyDescent="0.25">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F46" s="106"/>
      <c r="AG46" s="106"/>
      <c r="AH46" s="106"/>
    </row>
    <row r="47" spans="1:34" s="114" customFormat="1" x14ac:dyDescent="0.25">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F47" s="106"/>
      <c r="AG47" s="106"/>
      <c r="AH47" s="106"/>
    </row>
    <row r="48" spans="1:34" s="114" customFormat="1" x14ac:dyDescent="0.25">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F48" s="106"/>
      <c r="AG48" s="106"/>
      <c r="AH48" s="106"/>
    </row>
    <row r="49" spans="1:34" s="114" customFormat="1" x14ac:dyDescent="0.25">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F49" s="106"/>
      <c r="AG49" s="106"/>
      <c r="AH49" s="106"/>
    </row>
    <row r="50" spans="1:34" s="114" customFormat="1" x14ac:dyDescent="0.25">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F50" s="106"/>
      <c r="AG50" s="106"/>
      <c r="AH50" s="106"/>
    </row>
    <row r="51" spans="1:34" s="114" customFormat="1" x14ac:dyDescent="0.25">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F51" s="106"/>
      <c r="AG51" s="106"/>
      <c r="AH51" s="106"/>
    </row>
    <row r="52" spans="1:34" s="114" customFormat="1" x14ac:dyDescent="0.25">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F52" s="106"/>
      <c r="AG52" s="106"/>
      <c r="AH52" s="106"/>
    </row>
    <row r="53" spans="1:34" s="114" customFormat="1" x14ac:dyDescent="0.25">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F53" s="106"/>
      <c r="AG53" s="106"/>
      <c r="AH53" s="106"/>
    </row>
    <row r="54" spans="1:34" s="114" customFormat="1" x14ac:dyDescent="0.25">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F54" s="106"/>
      <c r="AG54" s="106"/>
      <c r="AH54" s="106"/>
    </row>
    <row r="55" spans="1:34" s="114" customFormat="1" x14ac:dyDescent="0.25">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F55" s="106"/>
      <c r="AG55" s="106"/>
      <c r="AH55" s="106"/>
    </row>
    <row r="56" spans="1:34" s="114" customFormat="1" x14ac:dyDescent="0.25">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F56" s="106"/>
      <c r="AG56" s="106"/>
      <c r="AH56" s="106"/>
    </row>
    <row r="57" spans="1:34" s="114" customFormat="1" x14ac:dyDescent="0.25">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F57" s="106"/>
      <c r="AG57" s="106"/>
      <c r="AH57" s="106"/>
    </row>
    <row r="58" spans="1:34" s="114" customFormat="1" x14ac:dyDescent="0.25">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F58" s="106"/>
      <c r="AG58" s="106"/>
      <c r="AH58" s="106"/>
    </row>
    <row r="59" spans="1:34" s="114" customFormat="1" x14ac:dyDescent="0.25">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F59" s="106"/>
      <c r="AG59" s="106"/>
      <c r="AH59" s="106"/>
    </row>
    <row r="60" spans="1:34" s="114" customFormat="1" x14ac:dyDescent="0.25">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F60" s="106"/>
      <c r="AG60" s="106"/>
      <c r="AH60" s="106"/>
    </row>
    <row r="61" spans="1:34" s="114" customFormat="1" x14ac:dyDescent="0.25">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F61" s="106"/>
      <c r="AG61" s="106"/>
      <c r="AH61" s="106"/>
    </row>
    <row r="62" spans="1:34" s="114" customFormat="1" x14ac:dyDescent="0.25">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F62" s="106"/>
      <c r="AG62" s="106"/>
      <c r="AH62" s="106"/>
    </row>
    <row r="63" spans="1:34" s="114" customFormat="1" x14ac:dyDescent="0.25">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F63" s="106"/>
      <c r="AG63" s="106"/>
      <c r="AH63" s="106"/>
    </row>
    <row r="64" spans="1:34" s="114" customFormat="1" x14ac:dyDescent="0.25">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F64" s="106"/>
      <c r="AG64" s="106"/>
      <c r="AH64" s="106"/>
    </row>
    <row r="65" spans="1:34" s="114" customFormat="1" x14ac:dyDescent="0.25">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F65" s="106"/>
      <c r="AG65" s="106"/>
      <c r="AH65" s="106"/>
    </row>
    <row r="66" spans="1:34" s="114" customFormat="1" x14ac:dyDescent="0.25">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F66" s="106"/>
      <c r="AG66" s="106"/>
      <c r="AH66" s="106"/>
    </row>
    <row r="67" spans="1:34" s="114" customFormat="1" x14ac:dyDescent="0.25">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F67" s="106"/>
      <c r="AG67" s="106"/>
      <c r="AH67" s="106"/>
    </row>
    <row r="68" spans="1:34" s="114" customFormat="1" x14ac:dyDescent="0.25">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F68" s="106"/>
      <c r="AG68" s="106"/>
      <c r="AH68" s="106"/>
    </row>
    <row r="69" spans="1:34" s="114" customFormat="1" x14ac:dyDescent="0.25">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F69" s="106"/>
      <c r="AG69" s="106"/>
      <c r="AH69" s="106"/>
    </row>
    <row r="70" spans="1:34" s="114" customFormat="1" x14ac:dyDescent="0.25">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F70" s="106"/>
      <c r="AG70" s="106"/>
      <c r="AH70" s="106"/>
    </row>
    <row r="71" spans="1:34" s="114" customFormat="1" x14ac:dyDescent="0.25">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F71" s="106"/>
      <c r="AG71" s="106"/>
      <c r="AH71" s="106"/>
    </row>
    <row r="72" spans="1:34" s="114" customFormat="1" x14ac:dyDescent="0.25">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F72" s="106"/>
      <c r="AG72" s="106"/>
      <c r="AH72" s="106"/>
    </row>
    <row r="73" spans="1:34" s="114" customFormat="1" x14ac:dyDescent="0.25">
      <c r="A73" s="106"/>
      <c r="B73" s="106"/>
      <c r="C73" s="172"/>
      <c r="D73" s="172"/>
      <c r="E73" s="172"/>
      <c r="F73" s="172"/>
      <c r="G73" s="172"/>
      <c r="H73" s="106"/>
      <c r="I73" s="173"/>
      <c r="J73" s="106"/>
      <c r="K73" s="106"/>
      <c r="L73" s="106"/>
      <c r="M73" s="106"/>
      <c r="N73" s="106"/>
      <c r="O73" s="106"/>
      <c r="P73" s="106"/>
      <c r="Q73" s="106"/>
      <c r="R73" s="106"/>
      <c r="S73" s="106"/>
      <c r="T73" s="106"/>
      <c r="U73" s="106"/>
      <c r="V73" s="106"/>
      <c r="W73" s="106"/>
      <c r="X73" s="106"/>
      <c r="Y73" s="106"/>
      <c r="Z73" s="106"/>
      <c r="AA73" s="106"/>
      <c r="AB73" s="106"/>
      <c r="AC73" s="106"/>
      <c r="AD73" s="106"/>
      <c r="AF73" s="106"/>
      <c r="AG73" s="106"/>
      <c r="AH73" s="106"/>
    </row>
    <row r="74" spans="1:34" s="114" customFormat="1" x14ac:dyDescent="0.25">
      <c r="A74" s="106"/>
      <c r="B74" s="106"/>
      <c r="C74" s="172"/>
      <c r="D74" s="172"/>
      <c r="E74" s="172"/>
      <c r="F74" s="172"/>
      <c r="G74" s="172"/>
      <c r="H74" s="106"/>
      <c r="I74" s="173"/>
      <c r="J74" s="106"/>
      <c r="K74" s="106"/>
      <c r="L74" s="106"/>
      <c r="M74" s="106"/>
      <c r="N74" s="106"/>
      <c r="O74" s="106"/>
      <c r="P74" s="106"/>
      <c r="Q74" s="106"/>
      <c r="R74" s="106"/>
      <c r="S74" s="106"/>
      <c r="T74" s="106"/>
      <c r="U74" s="106"/>
      <c r="V74" s="106"/>
      <c r="W74" s="106"/>
      <c r="X74" s="106"/>
      <c r="Y74" s="106"/>
      <c r="Z74" s="106"/>
      <c r="AA74" s="106"/>
      <c r="AB74" s="106"/>
      <c r="AC74" s="106"/>
      <c r="AD74" s="106"/>
      <c r="AF74" s="106"/>
      <c r="AG74" s="106"/>
      <c r="AH74" s="106"/>
    </row>
    <row r="75" spans="1:34" s="114" customFormat="1" x14ac:dyDescent="0.25">
      <c r="A75" s="106"/>
      <c r="B75" s="106"/>
      <c r="C75" s="172"/>
      <c r="D75" s="172"/>
      <c r="E75" s="172"/>
      <c r="F75" s="172"/>
      <c r="G75" s="172"/>
      <c r="H75" s="106"/>
      <c r="I75" s="173"/>
      <c r="J75" s="106"/>
      <c r="K75" s="106"/>
      <c r="L75" s="106"/>
      <c r="M75" s="106"/>
      <c r="N75" s="106"/>
      <c r="O75" s="106"/>
      <c r="P75" s="106"/>
      <c r="Q75" s="106"/>
      <c r="R75" s="106"/>
      <c r="S75" s="106"/>
      <c r="T75" s="106"/>
      <c r="U75" s="106"/>
      <c r="V75" s="106"/>
      <c r="W75" s="106"/>
      <c r="X75" s="106"/>
      <c r="Y75" s="106"/>
      <c r="Z75" s="106"/>
      <c r="AA75" s="106"/>
      <c r="AB75" s="106"/>
      <c r="AC75" s="106"/>
      <c r="AD75" s="106"/>
      <c r="AF75" s="106"/>
      <c r="AG75" s="106"/>
      <c r="AH75" s="106"/>
    </row>
    <row r="76" spans="1:34" s="114" customFormat="1" x14ac:dyDescent="0.25">
      <c r="A76" s="106"/>
      <c r="B76" s="106"/>
      <c r="C76" s="172"/>
      <c r="D76" s="172"/>
      <c r="E76" s="172"/>
      <c r="F76" s="172"/>
      <c r="G76" s="172"/>
      <c r="H76" s="106"/>
      <c r="I76" s="173"/>
      <c r="J76" s="174"/>
      <c r="K76" s="106"/>
      <c r="L76" s="106"/>
      <c r="M76" s="106"/>
      <c r="N76" s="106"/>
      <c r="O76" s="106"/>
      <c r="P76" s="106"/>
      <c r="Q76" s="106"/>
      <c r="R76" s="106"/>
      <c r="S76" s="106"/>
      <c r="T76" s="106"/>
      <c r="U76" s="106"/>
      <c r="V76" s="106"/>
      <c r="W76" s="106"/>
      <c r="X76" s="106"/>
      <c r="Y76" s="106"/>
      <c r="Z76" s="106"/>
      <c r="AA76" s="106"/>
      <c r="AB76" s="106"/>
      <c r="AC76" s="106"/>
      <c r="AD76" s="106"/>
      <c r="AF76" s="106"/>
      <c r="AG76" s="106"/>
      <c r="AH76" s="106"/>
    </row>
    <row r="77" spans="1:34" s="114" customFormat="1" x14ac:dyDescent="0.25">
      <c r="A77" s="106"/>
      <c r="B77" s="106"/>
      <c r="C77" s="106"/>
      <c r="D77" s="106"/>
      <c r="E77" s="106"/>
      <c r="F77" s="106"/>
      <c r="G77" s="106"/>
      <c r="H77" s="106"/>
      <c r="I77" s="106"/>
      <c r="J77" s="174"/>
      <c r="K77" s="106"/>
      <c r="L77" s="106"/>
      <c r="M77" s="172"/>
      <c r="N77" s="106"/>
      <c r="O77" s="106"/>
      <c r="P77" s="106"/>
      <c r="Q77" s="106"/>
      <c r="R77" s="106"/>
      <c r="S77" s="106"/>
      <c r="T77" s="106"/>
      <c r="U77" s="106"/>
      <c r="V77" s="106"/>
      <c r="W77" s="106"/>
      <c r="X77" s="106"/>
      <c r="Y77" s="106"/>
      <c r="Z77" s="106"/>
      <c r="AA77" s="106"/>
      <c r="AB77" s="106"/>
      <c r="AC77" s="106"/>
      <c r="AD77" s="106"/>
      <c r="AF77" s="106"/>
      <c r="AG77" s="106"/>
      <c r="AH77" s="106"/>
    </row>
    <row r="78" spans="1:34" s="114" customFormat="1" x14ac:dyDescent="0.25">
      <c r="A78" s="106"/>
      <c r="B78" s="106"/>
      <c r="C78" s="106"/>
      <c r="D78" s="106"/>
      <c r="E78" s="106"/>
      <c r="F78" s="106"/>
      <c r="G78" s="106"/>
      <c r="H78" s="106"/>
      <c r="I78" s="106"/>
      <c r="J78" s="174"/>
      <c r="K78" s="106"/>
      <c r="L78" s="106"/>
      <c r="M78" s="172"/>
      <c r="N78" s="106"/>
      <c r="O78" s="106"/>
      <c r="P78" s="106"/>
      <c r="Q78" s="106"/>
      <c r="R78" s="106"/>
      <c r="S78" s="106"/>
      <c r="T78" s="106"/>
      <c r="U78" s="106"/>
      <c r="V78" s="106"/>
      <c r="W78" s="106"/>
      <c r="X78" s="106"/>
      <c r="Y78" s="106"/>
      <c r="Z78" s="106"/>
      <c r="AA78" s="106"/>
      <c r="AB78" s="106"/>
      <c r="AC78" s="106"/>
      <c r="AD78" s="106"/>
      <c r="AF78" s="106"/>
      <c r="AG78" s="106"/>
      <c r="AH78" s="106"/>
    </row>
    <row r="79" spans="1:34" s="114" customFormat="1" x14ac:dyDescent="0.25">
      <c r="A79" s="106"/>
      <c r="B79" s="106"/>
      <c r="C79" s="106"/>
      <c r="D79" s="106"/>
      <c r="E79" s="106"/>
      <c r="F79" s="106"/>
      <c r="G79" s="106"/>
      <c r="H79" s="106"/>
      <c r="I79" s="106"/>
      <c r="J79" s="106"/>
      <c r="K79" s="106"/>
      <c r="L79" s="106"/>
      <c r="M79" s="172"/>
      <c r="N79" s="106"/>
      <c r="O79" s="106"/>
      <c r="P79" s="106"/>
      <c r="Q79" s="106"/>
      <c r="R79" s="106"/>
      <c r="S79" s="106"/>
      <c r="T79" s="106"/>
      <c r="U79" s="106"/>
      <c r="V79" s="106"/>
      <c r="W79" s="106"/>
      <c r="X79" s="106"/>
      <c r="Y79" s="106"/>
      <c r="Z79" s="106"/>
      <c r="AA79" s="106"/>
      <c r="AB79" s="106"/>
      <c r="AC79" s="106"/>
      <c r="AD79" s="106"/>
      <c r="AF79" s="106"/>
      <c r="AG79" s="106"/>
      <c r="AH79" s="106"/>
    </row>
    <row r="80" spans="1:34" s="114" customFormat="1" x14ac:dyDescent="0.25">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F80" s="106"/>
      <c r="AG80" s="106"/>
      <c r="AH80" s="106"/>
    </row>
    <row r="81" spans="1:59" s="114" customFormat="1" x14ac:dyDescent="0.25">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F81" s="106"/>
      <c r="AG81" s="106"/>
      <c r="AH81" s="106"/>
    </row>
    <row r="82" spans="1:59" s="114" customFormat="1" x14ac:dyDescent="0.25">
      <c r="A82" s="106">
        <v>2018</v>
      </c>
      <c r="B82" s="106"/>
      <c r="C82" s="175" t="s">
        <v>44</v>
      </c>
      <c r="D82" s="175"/>
      <c r="E82" s="175"/>
      <c r="F82" s="175"/>
      <c r="G82" s="175"/>
      <c r="H82" s="174" t="s">
        <v>45</v>
      </c>
      <c r="I82" s="174" t="s">
        <v>46</v>
      </c>
      <c r="J82" s="106"/>
      <c r="K82" s="106"/>
      <c r="L82" s="106"/>
      <c r="M82" s="174"/>
      <c r="N82" s="106"/>
      <c r="O82" s="106"/>
      <c r="P82" s="106"/>
      <c r="Q82" s="106"/>
      <c r="R82" s="106"/>
      <c r="S82" s="106"/>
      <c r="T82" s="106"/>
      <c r="U82" s="106"/>
      <c r="V82" s="106"/>
      <c r="W82" s="106"/>
      <c r="X82" s="106"/>
      <c r="Y82" s="106"/>
      <c r="Z82" s="106"/>
      <c r="AA82" s="106"/>
      <c r="AB82" s="106"/>
      <c r="AC82" s="106"/>
      <c r="AD82" s="106"/>
      <c r="AF82" s="106"/>
      <c r="AG82" s="106"/>
      <c r="AH82" s="106"/>
    </row>
    <row r="83" spans="1:59" s="114" customFormat="1" x14ac:dyDescent="0.25">
      <c r="A83" s="106">
        <v>2019</v>
      </c>
      <c r="B83" s="106"/>
      <c r="C83" s="172" t="s">
        <v>177</v>
      </c>
      <c r="D83" s="172"/>
      <c r="E83" s="172"/>
      <c r="F83" s="172"/>
      <c r="G83" s="172"/>
      <c r="H83" s="106" t="s">
        <v>180</v>
      </c>
      <c r="I83" s="173" t="s">
        <v>47</v>
      </c>
      <c r="J83" s="174" t="s">
        <v>206</v>
      </c>
      <c r="K83" s="174" t="s">
        <v>48</v>
      </c>
      <c r="L83" s="174" t="s">
        <v>49</v>
      </c>
      <c r="M83" s="176" t="s">
        <v>212</v>
      </c>
      <c r="N83" s="174"/>
      <c r="O83" s="174"/>
      <c r="P83" s="174"/>
      <c r="Q83" s="174"/>
      <c r="R83" s="174"/>
      <c r="S83" s="174"/>
      <c r="T83" s="174"/>
      <c r="U83" s="174"/>
      <c r="V83" s="174"/>
      <c r="W83" s="174"/>
      <c r="X83" s="174"/>
      <c r="Y83" s="174"/>
      <c r="Z83" s="174"/>
      <c r="AA83" s="174"/>
      <c r="AB83" s="174"/>
      <c r="AC83" s="174"/>
      <c r="AD83" s="106"/>
      <c r="AF83" s="106"/>
      <c r="AG83" s="106"/>
      <c r="AH83" s="106"/>
    </row>
    <row r="84" spans="1:59" s="114" customFormat="1" x14ac:dyDescent="0.25">
      <c r="A84" s="106">
        <v>2020</v>
      </c>
      <c r="B84" s="106"/>
      <c r="C84" s="172" t="s">
        <v>178</v>
      </c>
      <c r="D84" s="172"/>
      <c r="E84" s="172"/>
      <c r="F84" s="172"/>
      <c r="G84" s="172"/>
      <c r="H84" s="106" t="s">
        <v>181</v>
      </c>
      <c r="I84" s="173" t="s">
        <v>50</v>
      </c>
      <c r="J84" s="174" t="s">
        <v>207</v>
      </c>
      <c r="K84" s="174" t="s">
        <v>48</v>
      </c>
      <c r="L84" s="174" t="s">
        <v>49</v>
      </c>
      <c r="M84" s="177" t="s">
        <v>213</v>
      </c>
      <c r="N84" s="174"/>
      <c r="O84" s="174"/>
      <c r="P84" s="174"/>
      <c r="Q84" s="174"/>
      <c r="R84" s="174"/>
      <c r="S84" s="174"/>
      <c r="T84" s="174"/>
      <c r="U84" s="174"/>
      <c r="V84" s="174"/>
      <c r="W84" s="174"/>
      <c r="X84" s="174"/>
      <c r="Y84" s="174"/>
      <c r="Z84" s="174"/>
      <c r="AA84" s="174"/>
      <c r="AB84" s="174"/>
      <c r="AC84" s="174"/>
      <c r="AD84" s="174"/>
      <c r="AE84" s="178"/>
      <c r="AF84" s="174"/>
      <c r="AG84" s="174"/>
      <c r="AH84" s="174"/>
      <c r="AI84" s="178"/>
      <c r="AJ84" s="178"/>
      <c r="AK84" s="178"/>
      <c r="AL84" s="178"/>
      <c r="AM84" s="178"/>
      <c r="AN84" s="178"/>
      <c r="AO84" s="178"/>
      <c r="AP84" s="178"/>
      <c r="AQ84" s="178"/>
      <c r="AR84" s="178"/>
      <c r="AS84" s="178"/>
      <c r="AT84" s="178"/>
      <c r="AU84" s="178"/>
      <c r="AV84" s="178"/>
      <c r="AW84" s="178"/>
      <c r="AX84" s="178"/>
      <c r="AY84" s="178"/>
      <c r="AZ84" s="178"/>
      <c r="BA84" s="178"/>
      <c r="BB84" s="178"/>
      <c r="BC84" s="178"/>
      <c r="BD84" s="178"/>
      <c r="BE84" s="178"/>
      <c r="BF84" s="178"/>
      <c r="BG84" s="178"/>
    </row>
    <row r="85" spans="1:59" s="114" customFormat="1" x14ac:dyDescent="0.25">
      <c r="A85" s="106">
        <v>2021</v>
      </c>
      <c r="B85" s="106"/>
      <c r="C85" s="172" t="s">
        <v>179</v>
      </c>
      <c r="D85" s="172"/>
      <c r="E85" s="172"/>
      <c r="F85" s="172"/>
      <c r="G85" s="172"/>
      <c r="H85" s="106" t="s">
        <v>182</v>
      </c>
      <c r="I85" s="173" t="s">
        <v>51</v>
      </c>
      <c r="J85" s="174" t="s">
        <v>207</v>
      </c>
      <c r="K85" s="174" t="s">
        <v>48</v>
      </c>
      <c r="L85" s="174" t="s">
        <v>49</v>
      </c>
      <c r="M85" s="177" t="s">
        <v>214</v>
      </c>
      <c r="N85" s="174"/>
      <c r="O85" s="174"/>
      <c r="P85" s="174"/>
      <c r="Q85" s="174"/>
      <c r="R85" s="174"/>
      <c r="S85" s="174"/>
      <c r="T85" s="174"/>
      <c r="U85" s="174"/>
      <c r="V85" s="174"/>
      <c r="W85" s="174"/>
      <c r="X85" s="174"/>
      <c r="Y85" s="174"/>
      <c r="Z85" s="174"/>
      <c r="AA85" s="174"/>
      <c r="AB85" s="174"/>
      <c r="AC85" s="174"/>
      <c r="AD85" s="174"/>
      <c r="AE85" s="178"/>
      <c r="AF85" s="174"/>
      <c r="AG85" s="174"/>
      <c r="AH85" s="174"/>
      <c r="AI85" s="178"/>
      <c r="AJ85" s="178"/>
      <c r="AK85" s="178"/>
      <c r="AL85" s="178"/>
      <c r="AM85" s="178"/>
      <c r="AN85" s="178"/>
      <c r="AO85" s="178"/>
      <c r="AP85" s="178"/>
      <c r="AQ85" s="178"/>
      <c r="AR85" s="178"/>
      <c r="AS85" s="178"/>
      <c r="AT85" s="178"/>
      <c r="AU85" s="178"/>
      <c r="AV85" s="178"/>
      <c r="AW85" s="178"/>
      <c r="AX85" s="178"/>
      <c r="AY85" s="178"/>
      <c r="AZ85" s="178"/>
      <c r="BA85" s="178"/>
      <c r="BB85" s="178"/>
      <c r="BC85" s="178"/>
      <c r="BD85" s="178"/>
      <c r="BE85" s="178"/>
      <c r="BF85" s="178"/>
      <c r="BG85" s="178"/>
    </row>
    <row r="86" spans="1:59" s="114" customFormat="1" x14ac:dyDescent="0.25">
      <c r="A86" s="106">
        <v>2022</v>
      </c>
      <c r="B86" s="106"/>
      <c r="C86" s="172" t="s">
        <v>183</v>
      </c>
      <c r="D86" s="172"/>
      <c r="E86" s="172"/>
      <c r="F86" s="172"/>
      <c r="G86" s="172"/>
      <c r="H86" s="106" t="s">
        <v>192</v>
      </c>
      <c r="I86" s="173" t="s">
        <v>52</v>
      </c>
      <c r="J86" s="174" t="s">
        <v>208</v>
      </c>
      <c r="K86" s="174" t="s">
        <v>48</v>
      </c>
      <c r="L86" s="174" t="s">
        <v>54</v>
      </c>
      <c r="M86" s="176" t="s">
        <v>215</v>
      </c>
      <c r="N86" s="174"/>
      <c r="O86" s="174"/>
      <c r="P86" s="174"/>
      <c r="Q86" s="174"/>
      <c r="R86" s="174"/>
      <c r="S86" s="174"/>
      <c r="T86" s="174"/>
      <c r="U86" s="174"/>
      <c r="V86" s="174"/>
      <c r="W86" s="174"/>
      <c r="X86" s="174"/>
      <c r="Y86" s="174"/>
      <c r="Z86" s="174"/>
      <c r="AA86" s="174"/>
      <c r="AB86" s="174"/>
      <c r="AC86" s="174"/>
      <c r="AD86" s="174"/>
      <c r="AE86" s="178"/>
      <c r="AF86" s="174"/>
      <c r="AG86" s="174"/>
      <c r="AH86" s="174"/>
      <c r="AI86" s="178"/>
      <c r="AJ86" s="178"/>
      <c r="AK86" s="178"/>
      <c r="AL86" s="178"/>
      <c r="AM86" s="178"/>
      <c r="AN86" s="178"/>
      <c r="AO86" s="178"/>
      <c r="AP86" s="178"/>
      <c r="AQ86" s="178"/>
      <c r="AR86" s="178"/>
      <c r="AS86" s="178"/>
      <c r="AT86" s="178"/>
      <c r="AU86" s="178"/>
      <c r="AV86" s="178"/>
      <c r="AW86" s="178"/>
      <c r="AX86" s="178"/>
      <c r="AY86" s="178"/>
      <c r="AZ86" s="178"/>
      <c r="BA86" s="178"/>
      <c r="BB86" s="178"/>
      <c r="BC86" s="178"/>
      <c r="BD86" s="178"/>
      <c r="BE86" s="178"/>
      <c r="BF86" s="178"/>
      <c r="BG86" s="178"/>
    </row>
    <row r="87" spans="1:59" s="114" customFormat="1" x14ac:dyDescent="0.25">
      <c r="A87" s="106">
        <v>2023</v>
      </c>
      <c r="B87" s="106"/>
      <c r="C87" s="172" t="s">
        <v>184</v>
      </c>
      <c r="D87" s="172"/>
      <c r="E87" s="172"/>
      <c r="F87" s="172"/>
      <c r="G87" s="172"/>
      <c r="H87" s="106" t="s">
        <v>193</v>
      </c>
      <c r="I87" s="173" t="s">
        <v>55</v>
      </c>
      <c r="J87" s="174" t="s">
        <v>209</v>
      </c>
      <c r="K87" s="174" t="s">
        <v>48</v>
      </c>
      <c r="L87" s="174" t="s">
        <v>54</v>
      </c>
      <c r="M87" s="176" t="s">
        <v>216</v>
      </c>
      <c r="N87" s="174"/>
      <c r="O87" s="174"/>
      <c r="P87" s="174"/>
      <c r="Q87" s="174"/>
      <c r="R87" s="174"/>
      <c r="S87" s="174"/>
      <c r="T87" s="174"/>
      <c r="U87" s="174"/>
      <c r="V87" s="174"/>
      <c r="W87" s="174"/>
      <c r="X87" s="174"/>
      <c r="Y87" s="174"/>
      <c r="Z87" s="174"/>
      <c r="AA87" s="174"/>
      <c r="AB87" s="174"/>
      <c r="AC87" s="174"/>
      <c r="AD87" s="174"/>
      <c r="AE87" s="178"/>
      <c r="AF87" s="174"/>
      <c r="AG87" s="174"/>
      <c r="AH87" s="174"/>
      <c r="AI87" s="178"/>
      <c r="AJ87" s="178"/>
      <c r="AK87" s="178"/>
      <c r="AL87" s="178"/>
      <c r="AM87" s="178"/>
      <c r="AN87" s="178"/>
      <c r="AO87" s="178"/>
      <c r="AP87" s="178"/>
      <c r="AQ87" s="178"/>
      <c r="AR87" s="178"/>
      <c r="AS87" s="178"/>
      <c r="AT87" s="178"/>
      <c r="AU87" s="178"/>
      <c r="AV87" s="178"/>
      <c r="AW87" s="178"/>
      <c r="AX87" s="178"/>
      <c r="AY87" s="178"/>
      <c r="AZ87" s="178"/>
      <c r="BA87" s="178"/>
      <c r="BB87" s="178"/>
      <c r="BC87" s="178"/>
      <c r="BD87" s="178"/>
      <c r="BE87" s="178"/>
      <c r="BF87" s="178"/>
      <c r="BG87" s="178"/>
    </row>
    <row r="88" spans="1:59" x14ac:dyDescent="0.25">
      <c r="A88" s="106">
        <v>2024</v>
      </c>
      <c r="C88" s="172" t="s">
        <v>185</v>
      </c>
      <c r="D88" s="172"/>
      <c r="E88" s="172"/>
      <c r="F88" s="172"/>
      <c r="G88" s="172"/>
      <c r="H88" s="106" t="s">
        <v>194</v>
      </c>
      <c r="I88" s="173" t="s">
        <v>56</v>
      </c>
      <c r="J88" s="174" t="s">
        <v>209</v>
      </c>
      <c r="K88" s="174" t="s">
        <v>48</v>
      </c>
      <c r="L88" s="174" t="s">
        <v>54</v>
      </c>
      <c r="M88" s="176" t="s">
        <v>226</v>
      </c>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row>
    <row r="89" spans="1:59" x14ac:dyDescent="0.25">
      <c r="A89" s="106">
        <v>2025</v>
      </c>
      <c r="C89" s="172" t="s">
        <v>186</v>
      </c>
      <c r="D89" s="172"/>
      <c r="E89" s="172"/>
      <c r="F89" s="172"/>
      <c r="G89" s="172"/>
      <c r="H89" s="106" t="s">
        <v>195</v>
      </c>
      <c r="I89" s="173" t="s">
        <v>57</v>
      </c>
      <c r="J89" s="174" t="s">
        <v>209</v>
      </c>
      <c r="K89" s="174" t="s">
        <v>48</v>
      </c>
      <c r="L89" s="174" t="s">
        <v>54</v>
      </c>
      <c r="M89" s="176" t="s">
        <v>217</v>
      </c>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row>
    <row r="90" spans="1:59" x14ac:dyDescent="0.25">
      <c r="A90" s="106">
        <v>2026</v>
      </c>
      <c r="C90" s="172" t="s">
        <v>187</v>
      </c>
      <c r="D90" s="172"/>
      <c r="E90" s="172"/>
      <c r="F90" s="172"/>
      <c r="G90" s="172"/>
      <c r="H90" s="106" t="s">
        <v>196</v>
      </c>
      <c r="I90" s="173" t="s">
        <v>58</v>
      </c>
      <c r="J90" s="174" t="s">
        <v>208</v>
      </c>
      <c r="K90" s="174" t="s">
        <v>48</v>
      </c>
      <c r="L90" s="174" t="s">
        <v>54</v>
      </c>
      <c r="M90" s="176" t="s">
        <v>218</v>
      </c>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row>
    <row r="91" spans="1:59" x14ac:dyDescent="0.25">
      <c r="A91" s="106">
        <v>2027</v>
      </c>
      <c r="C91" s="172" t="s">
        <v>188</v>
      </c>
      <c r="D91" s="172"/>
      <c r="E91" s="172"/>
      <c r="F91" s="172"/>
      <c r="G91" s="172"/>
      <c r="H91" s="106" t="s">
        <v>197</v>
      </c>
      <c r="I91" s="173" t="s">
        <v>60</v>
      </c>
      <c r="J91" s="174" t="s">
        <v>207</v>
      </c>
      <c r="K91" s="174" t="s">
        <v>48</v>
      </c>
      <c r="L91" s="172" t="s">
        <v>204</v>
      </c>
      <c r="M91" s="176" t="s">
        <v>219</v>
      </c>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row>
    <row r="92" spans="1:59" x14ac:dyDescent="0.25">
      <c r="A92" s="106">
        <v>2028</v>
      </c>
      <c r="C92" s="172" t="s">
        <v>59</v>
      </c>
      <c r="D92" s="172"/>
      <c r="E92" s="172"/>
      <c r="F92" s="172"/>
      <c r="G92" s="172"/>
      <c r="H92" s="106" t="s">
        <v>198</v>
      </c>
      <c r="I92" s="173" t="s">
        <v>61</v>
      </c>
      <c r="J92" s="174" t="s">
        <v>62</v>
      </c>
      <c r="K92" s="174" t="s">
        <v>48</v>
      </c>
      <c r="L92" s="172" t="s">
        <v>204</v>
      </c>
      <c r="M92" s="176" t="s">
        <v>220</v>
      </c>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row>
    <row r="93" spans="1:59" x14ac:dyDescent="0.25">
      <c r="C93" s="172" t="s">
        <v>189</v>
      </c>
      <c r="D93" s="172"/>
      <c r="E93" s="172"/>
      <c r="F93" s="172"/>
      <c r="G93" s="172"/>
      <c r="H93" s="106" t="s">
        <v>199</v>
      </c>
      <c r="I93" s="173" t="s">
        <v>63</v>
      </c>
      <c r="J93" s="174" t="s">
        <v>207</v>
      </c>
      <c r="K93" s="174" t="s">
        <v>48</v>
      </c>
      <c r="L93" s="172" t="s">
        <v>204</v>
      </c>
      <c r="M93" s="176" t="s">
        <v>221</v>
      </c>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row>
    <row r="94" spans="1:59" x14ac:dyDescent="0.25">
      <c r="C94" s="172" t="s">
        <v>190</v>
      </c>
      <c r="D94" s="172"/>
      <c r="E94" s="172"/>
      <c r="F94" s="172"/>
      <c r="G94" s="172"/>
      <c r="H94" s="106" t="s">
        <v>200</v>
      </c>
      <c r="I94" s="173" t="s">
        <v>64</v>
      </c>
      <c r="J94" s="174" t="s">
        <v>207</v>
      </c>
      <c r="K94" s="174" t="s">
        <v>48</v>
      </c>
      <c r="L94" s="172" t="s">
        <v>204</v>
      </c>
      <c r="M94" s="176" t="s">
        <v>222</v>
      </c>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row>
    <row r="95" spans="1:59" x14ac:dyDescent="0.25">
      <c r="C95" s="172" t="s">
        <v>191</v>
      </c>
      <c r="D95" s="172"/>
      <c r="E95" s="172"/>
      <c r="F95" s="172"/>
      <c r="G95" s="172"/>
      <c r="H95" s="106" t="s">
        <v>201</v>
      </c>
      <c r="I95" s="173" t="s">
        <v>65</v>
      </c>
      <c r="J95" s="174" t="s">
        <v>207</v>
      </c>
      <c r="K95" s="174" t="s">
        <v>48</v>
      </c>
      <c r="L95" s="172" t="s">
        <v>204</v>
      </c>
      <c r="M95" s="176" t="s">
        <v>223</v>
      </c>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row>
    <row r="96" spans="1:59" x14ac:dyDescent="0.25">
      <c r="C96" s="172" t="s">
        <v>202</v>
      </c>
      <c r="D96" s="172"/>
      <c r="E96" s="172"/>
      <c r="F96" s="172"/>
      <c r="G96" s="172"/>
      <c r="H96" s="106" t="s">
        <v>203</v>
      </c>
      <c r="I96" s="173" t="s">
        <v>66</v>
      </c>
      <c r="J96" s="174" t="s">
        <v>225</v>
      </c>
      <c r="K96" s="174" t="s">
        <v>48</v>
      </c>
      <c r="L96" s="174" t="s">
        <v>205</v>
      </c>
      <c r="M96" s="172" t="s">
        <v>224</v>
      </c>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row>
    <row r="97" spans="3:59" x14ac:dyDescent="0.25">
      <c r="C97" s="179"/>
      <c r="D97" s="179"/>
      <c r="E97" s="179"/>
      <c r="F97" s="179"/>
      <c r="G97" s="179"/>
      <c r="M97" s="172"/>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row>
    <row r="98" spans="3:59" x14ac:dyDescent="0.25">
      <c r="C98" s="179"/>
      <c r="D98" s="179"/>
      <c r="E98" s="179"/>
      <c r="F98" s="179"/>
      <c r="G98" s="179"/>
      <c r="M98" s="172"/>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c r="AT98" s="174"/>
      <c r="AU98" s="174"/>
      <c r="AV98" s="174"/>
      <c r="AW98" s="174"/>
      <c r="AX98" s="174"/>
      <c r="AY98" s="174"/>
      <c r="AZ98" s="174"/>
      <c r="BA98" s="174"/>
      <c r="BB98" s="174"/>
      <c r="BC98" s="174"/>
      <c r="BD98" s="174"/>
      <c r="BE98" s="174"/>
      <c r="BF98" s="174"/>
      <c r="BG98" s="174"/>
    </row>
    <row r="99" spans="3:59" x14ac:dyDescent="0.25">
      <c r="C99" s="175" t="s">
        <v>102</v>
      </c>
      <c r="D99" s="175"/>
      <c r="E99" s="175"/>
      <c r="F99" s="175"/>
      <c r="G99" s="175"/>
      <c r="M99" s="172"/>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c r="AT99" s="174"/>
      <c r="AU99" s="174"/>
      <c r="AV99" s="174"/>
      <c r="AW99" s="174"/>
      <c r="AX99" s="174"/>
      <c r="AY99" s="174"/>
      <c r="AZ99" s="174"/>
      <c r="BA99" s="174"/>
      <c r="BB99" s="174"/>
      <c r="BC99" s="174"/>
      <c r="BD99" s="174"/>
      <c r="BE99" s="174"/>
      <c r="BF99" s="174"/>
      <c r="BG99" s="174"/>
    </row>
    <row r="100" spans="3:59" x14ac:dyDescent="0.25">
      <c r="C100" s="174" t="s">
        <v>43</v>
      </c>
      <c r="D100" s="174"/>
      <c r="E100" s="174"/>
      <c r="F100" s="174"/>
      <c r="G100" s="174"/>
      <c r="J100" s="174"/>
      <c r="K100" s="174"/>
      <c r="L100" s="174"/>
      <c r="M100" s="172"/>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row>
    <row r="101" spans="3:59" x14ac:dyDescent="0.25">
      <c r="C101" s="174" t="s">
        <v>103</v>
      </c>
      <c r="D101" s="174"/>
      <c r="E101" s="174"/>
      <c r="F101" s="174"/>
      <c r="G101" s="174"/>
      <c r="J101" s="174"/>
      <c r="K101" s="174"/>
      <c r="L101" s="174"/>
      <c r="M101" s="172"/>
      <c r="N101" s="174"/>
    </row>
    <row r="102" spans="3:59" x14ac:dyDescent="0.25">
      <c r="C102" s="174" t="s">
        <v>41</v>
      </c>
      <c r="D102" s="174"/>
      <c r="E102" s="174"/>
      <c r="F102" s="174"/>
      <c r="G102" s="174"/>
      <c r="I102" s="175"/>
      <c r="M102" s="172"/>
    </row>
    <row r="103" spans="3:59" x14ac:dyDescent="0.25">
      <c r="C103" s="174"/>
      <c r="D103" s="174"/>
      <c r="E103" s="174"/>
      <c r="F103" s="174"/>
      <c r="G103" s="174"/>
      <c r="I103" s="172"/>
      <c r="M103" s="172"/>
    </row>
    <row r="104" spans="3:59" x14ac:dyDescent="0.25">
      <c r="C104" s="175" t="s">
        <v>104</v>
      </c>
      <c r="D104" s="175"/>
      <c r="E104" s="175"/>
      <c r="F104" s="175"/>
      <c r="G104" s="175"/>
      <c r="H104" s="172"/>
      <c r="I104" s="172"/>
      <c r="J104" s="172"/>
      <c r="M104" s="172"/>
    </row>
    <row r="105" spans="3:59" x14ac:dyDescent="0.25">
      <c r="C105" s="174" t="s">
        <v>39</v>
      </c>
      <c r="D105" s="174"/>
      <c r="E105" s="174"/>
      <c r="F105" s="174"/>
      <c r="G105" s="174"/>
      <c r="H105" s="180"/>
      <c r="I105" s="172"/>
      <c r="J105" s="180"/>
      <c r="M105" s="172"/>
    </row>
    <row r="106" spans="3:59" x14ac:dyDescent="0.25">
      <c r="C106" s="174" t="s">
        <v>42</v>
      </c>
      <c r="D106" s="174"/>
      <c r="E106" s="174"/>
      <c r="F106" s="174"/>
      <c r="G106" s="174"/>
      <c r="H106" s="172"/>
      <c r="I106" s="175"/>
      <c r="J106" s="172"/>
      <c r="M106" s="172"/>
    </row>
    <row r="107" spans="3:59" x14ac:dyDescent="0.25">
      <c r="C107" s="175"/>
      <c r="D107" s="175"/>
      <c r="E107" s="175"/>
      <c r="F107" s="175"/>
      <c r="G107" s="175"/>
      <c r="H107" s="172"/>
      <c r="I107" s="172"/>
      <c r="J107" s="172"/>
      <c r="M107" s="172"/>
    </row>
    <row r="108" spans="3:59" x14ac:dyDescent="0.25">
      <c r="C108" s="175" t="s">
        <v>105</v>
      </c>
      <c r="D108" s="175"/>
      <c r="E108" s="175"/>
      <c r="F108" s="175"/>
      <c r="G108" s="175"/>
      <c r="H108" s="172"/>
      <c r="I108" s="172"/>
      <c r="J108" s="172"/>
      <c r="M108" s="172"/>
    </row>
    <row r="109" spans="3:59" x14ac:dyDescent="0.25">
      <c r="H109" s="172"/>
      <c r="I109" s="172"/>
      <c r="J109" s="172"/>
      <c r="M109" s="172"/>
    </row>
    <row r="110" spans="3:59" x14ac:dyDescent="0.25">
      <c r="C110" s="174" t="s">
        <v>40</v>
      </c>
      <c r="D110" s="174"/>
      <c r="E110" s="174"/>
      <c r="F110" s="174"/>
      <c r="G110" s="174"/>
      <c r="H110" s="172"/>
      <c r="I110" s="172"/>
      <c r="J110" s="172"/>
      <c r="M110" s="172"/>
    </row>
    <row r="111" spans="3:59" x14ac:dyDescent="0.25">
      <c r="C111" s="174" t="s">
        <v>106</v>
      </c>
      <c r="D111" s="174"/>
      <c r="E111" s="174"/>
      <c r="F111" s="174"/>
      <c r="G111" s="174"/>
      <c r="H111" s="172"/>
      <c r="I111" s="172"/>
      <c r="J111" s="172"/>
      <c r="M111" s="172"/>
    </row>
    <row r="112" spans="3:59" x14ac:dyDescent="0.25">
      <c r="C112" s="174" t="s">
        <v>242</v>
      </c>
      <c r="D112" s="174"/>
      <c r="E112" s="174"/>
      <c r="F112" s="172"/>
      <c r="G112" s="172"/>
      <c r="H112" s="172"/>
      <c r="I112" s="172"/>
      <c r="J112" s="172"/>
      <c r="M112" s="172"/>
    </row>
    <row r="113" spans="2:13" x14ac:dyDescent="0.25">
      <c r="C113" s="172"/>
      <c r="D113" s="172"/>
      <c r="E113" s="172"/>
      <c r="F113" s="172"/>
      <c r="G113" s="172"/>
      <c r="H113" s="172"/>
      <c r="I113" s="172"/>
      <c r="J113" s="172"/>
      <c r="M113" s="172"/>
    </row>
    <row r="114" spans="2:13" ht="17.25" x14ac:dyDescent="0.25">
      <c r="B114" s="106">
        <v>1</v>
      </c>
      <c r="C114" s="303" t="s">
        <v>593</v>
      </c>
      <c r="D114" s="174"/>
      <c r="E114" s="174"/>
      <c r="F114" s="174"/>
      <c r="G114" s="174"/>
      <c r="H114" s="172"/>
      <c r="I114" s="172"/>
      <c r="J114" s="172"/>
      <c r="M114" s="172"/>
    </row>
    <row r="115" spans="2:13" ht="17.25" x14ac:dyDescent="0.25">
      <c r="B115" s="106">
        <v>2</v>
      </c>
      <c r="C115" s="303" t="s">
        <v>594</v>
      </c>
      <c r="D115" s="174"/>
      <c r="E115" s="174"/>
      <c r="F115" s="174"/>
      <c r="G115" s="174"/>
      <c r="H115" s="172"/>
      <c r="I115" s="172"/>
      <c r="J115" s="172"/>
      <c r="M115" s="172"/>
    </row>
    <row r="116" spans="2:13" ht="17.25" x14ac:dyDescent="0.25">
      <c r="B116" s="106">
        <v>3</v>
      </c>
      <c r="C116" s="303" t="s">
        <v>595</v>
      </c>
      <c r="D116" s="174"/>
      <c r="E116" s="174"/>
      <c r="F116" s="174"/>
      <c r="G116" s="174"/>
      <c r="M116" s="172"/>
    </row>
    <row r="117" spans="2:13" ht="17.25" x14ac:dyDescent="0.25">
      <c r="B117" s="106">
        <v>4</v>
      </c>
      <c r="C117" s="303" t="s">
        <v>596</v>
      </c>
      <c r="D117" s="174"/>
      <c r="E117" s="174"/>
      <c r="F117" s="174"/>
      <c r="G117" s="174"/>
      <c r="M117" s="172"/>
    </row>
    <row r="118" spans="2:13" ht="17.25" x14ac:dyDescent="0.25">
      <c r="B118" s="106">
        <v>5</v>
      </c>
      <c r="C118" s="303" t="s">
        <v>211</v>
      </c>
      <c r="D118" s="174"/>
      <c r="E118" s="174"/>
      <c r="F118" s="174"/>
      <c r="G118" s="174"/>
      <c r="M118" s="172"/>
    </row>
    <row r="119" spans="2:13" ht="17.25" x14ac:dyDescent="0.25">
      <c r="B119" s="106">
        <v>6</v>
      </c>
      <c r="C119" s="303" t="s">
        <v>597</v>
      </c>
      <c r="D119" s="174"/>
      <c r="E119" s="174"/>
      <c r="F119" s="174"/>
      <c r="G119" s="174"/>
      <c r="M119" s="172"/>
    </row>
    <row r="120" spans="2:13" ht="17.25" x14ac:dyDescent="0.25">
      <c r="B120" s="106">
        <v>7</v>
      </c>
      <c r="C120" s="303" t="s">
        <v>598</v>
      </c>
      <c r="D120" s="174"/>
      <c r="E120" s="174"/>
      <c r="F120" s="174"/>
      <c r="G120" s="174"/>
      <c r="M120" s="172"/>
    </row>
    <row r="121" spans="2:13" x14ac:dyDescent="0.25">
      <c r="B121" s="181"/>
      <c r="C121" s="177"/>
      <c r="D121" s="177"/>
      <c r="E121" s="177"/>
      <c r="F121" s="177"/>
      <c r="G121" s="177"/>
      <c r="M121" s="172"/>
    </row>
    <row r="122" spans="2:13" x14ac:dyDescent="0.25">
      <c r="B122" s="181"/>
      <c r="C122" s="177"/>
      <c r="D122" s="177"/>
      <c r="E122" s="177"/>
      <c r="F122" s="177"/>
      <c r="G122" s="177"/>
      <c r="M122" s="172"/>
    </row>
    <row r="123" spans="2:13" x14ac:dyDescent="0.25">
      <c r="B123" s="181"/>
      <c r="C123" s="177"/>
      <c r="D123" s="177"/>
      <c r="E123" s="177"/>
      <c r="F123" s="177"/>
      <c r="G123" s="177"/>
      <c r="M123" s="172"/>
    </row>
    <row r="124" spans="2:13" x14ac:dyDescent="0.25">
      <c r="C124" s="174"/>
      <c r="D124" s="174"/>
      <c r="E124" s="174"/>
      <c r="F124" s="174"/>
      <c r="G124" s="174"/>
      <c r="M124" s="172"/>
    </row>
    <row r="125" spans="2:13" x14ac:dyDescent="0.25">
      <c r="C125" s="174"/>
      <c r="D125" s="174"/>
      <c r="E125" s="174"/>
      <c r="F125" s="174"/>
      <c r="G125" s="174"/>
      <c r="M125" s="172"/>
    </row>
    <row r="126" spans="2:13" x14ac:dyDescent="0.25">
      <c r="C126" s="174"/>
      <c r="D126" s="174"/>
      <c r="E126" s="174"/>
      <c r="F126" s="174"/>
      <c r="G126" s="174"/>
      <c r="M126" s="172"/>
    </row>
    <row r="127" spans="2:13" x14ac:dyDescent="0.25">
      <c r="C127" s="174"/>
      <c r="D127" s="174"/>
      <c r="E127" s="174"/>
      <c r="F127" s="174"/>
      <c r="G127" s="174"/>
      <c r="M127" s="172"/>
    </row>
    <row r="128" spans="2:13" x14ac:dyDescent="0.25">
      <c r="C128" s="174"/>
      <c r="D128" s="174"/>
      <c r="E128" s="174"/>
      <c r="F128" s="174"/>
      <c r="G128" s="174"/>
      <c r="M128" s="172"/>
    </row>
    <row r="129" spans="3:13" x14ac:dyDescent="0.25">
      <c r="C129" s="174"/>
      <c r="D129" s="174"/>
      <c r="E129" s="174"/>
      <c r="F129" s="174"/>
      <c r="G129" s="174"/>
      <c r="M129" s="172"/>
    </row>
    <row r="130" spans="3:13" x14ac:dyDescent="0.25">
      <c r="C130" s="174"/>
      <c r="D130" s="174"/>
      <c r="E130" s="174"/>
      <c r="F130" s="174"/>
      <c r="G130" s="174"/>
      <c r="M130" s="172"/>
    </row>
    <row r="131" spans="3:13" x14ac:dyDescent="0.25">
      <c r="C131" s="174"/>
      <c r="D131" s="174"/>
      <c r="E131" s="174"/>
      <c r="F131" s="174"/>
      <c r="G131" s="174"/>
      <c r="M131" s="172"/>
    </row>
    <row r="132" spans="3:13" x14ac:dyDescent="0.25">
      <c r="C132" s="174"/>
      <c r="D132" s="174"/>
      <c r="E132" s="174"/>
      <c r="F132" s="174"/>
      <c r="G132" s="174"/>
      <c r="M132" s="172"/>
    </row>
    <row r="133" spans="3:13" x14ac:dyDescent="0.25">
      <c r="C133" s="174"/>
      <c r="D133" s="174"/>
      <c r="E133" s="174"/>
      <c r="F133" s="174"/>
      <c r="G133" s="174"/>
      <c r="M133" s="172"/>
    </row>
    <row r="134" spans="3:13" x14ac:dyDescent="0.25">
      <c r="C134" s="174"/>
      <c r="D134" s="174"/>
      <c r="E134" s="174"/>
      <c r="F134" s="174"/>
      <c r="G134" s="174"/>
      <c r="M134" s="172"/>
    </row>
    <row r="135" spans="3:13" x14ac:dyDescent="0.25">
      <c r="C135" s="174"/>
      <c r="D135" s="174"/>
      <c r="E135" s="174"/>
      <c r="F135" s="174"/>
      <c r="G135" s="174"/>
      <c r="M135" s="172"/>
    </row>
    <row r="136" spans="3:13" x14ac:dyDescent="0.25">
      <c r="C136" s="174"/>
      <c r="D136" s="174"/>
      <c r="E136" s="174"/>
      <c r="F136" s="174"/>
      <c r="G136" s="174"/>
      <c r="M136" s="172"/>
    </row>
    <row r="137" spans="3:13" x14ac:dyDescent="0.25">
      <c r="C137" s="174"/>
      <c r="D137" s="174"/>
      <c r="E137" s="174"/>
      <c r="F137" s="174"/>
      <c r="G137" s="174"/>
      <c r="M137" s="172"/>
    </row>
    <row r="138" spans="3:13" x14ac:dyDescent="0.25">
      <c r="C138" s="174"/>
      <c r="D138" s="174"/>
      <c r="E138" s="174"/>
      <c r="F138" s="174"/>
      <c r="G138" s="174"/>
    </row>
    <row r="139" spans="3:13" x14ac:dyDescent="0.25">
      <c r="C139" s="174"/>
      <c r="D139" s="174"/>
      <c r="E139" s="174"/>
      <c r="F139" s="174"/>
      <c r="G139" s="174"/>
    </row>
    <row r="140" spans="3:13" x14ac:dyDescent="0.25">
      <c r="C140" s="174"/>
      <c r="D140" s="174"/>
      <c r="E140" s="174"/>
      <c r="F140" s="174"/>
      <c r="G140" s="174"/>
    </row>
    <row r="141" spans="3:13" x14ac:dyDescent="0.25">
      <c r="C141" s="174"/>
      <c r="D141" s="174"/>
      <c r="E141" s="174"/>
      <c r="F141" s="174"/>
      <c r="G141" s="174"/>
    </row>
    <row r="142" spans="3:13" x14ac:dyDescent="0.25">
      <c r="C142" s="174"/>
      <c r="D142" s="174"/>
      <c r="E142" s="174"/>
      <c r="F142" s="174"/>
      <c r="G142" s="174"/>
    </row>
    <row r="143" spans="3:13" x14ac:dyDescent="0.25">
      <c r="C143" s="174"/>
      <c r="D143" s="174"/>
      <c r="E143" s="174"/>
      <c r="F143" s="174"/>
      <c r="G143" s="174"/>
    </row>
    <row r="144" spans="3:13" x14ac:dyDescent="0.25">
      <c r="C144" s="174"/>
      <c r="D144" s="174"/>
      <c r="E144" s="174"/>
      <c r="F144" s="174"/>
      <c r="G144" s="174"/>
    </row>
    <row r="145" spans="3:7" x14ac:dyDescent="0.25">
      <c r="C145" s="174"/>
      <c r="D145" s="174"/>
      <c r="E145" s="174"/>
      <c r="F145" s="174"/>
      <c r="G145" s="174"/>
    </row>
    <row r="146" spans="3:7" x14ac:dyDescent="0.25">
      <c r="C146" s="174"/>
      <c r="D146" s="174"/>
      <c r="E146" s="174"/>
      <c r="F146" s="174"/>
      <c r="G146" s="174"/>
    </row>
    <row r="147" spans="3:7" x14ac:dyDescent="0.25">
      <c r="C147" s="174"/>
      <c r="D147" s="174"/>
      <c r="E147" s="174"/>
      <c r="F147" s="174"/>
      <c r="G147" s="174"/>
    </row>
    <row r="148" spans="3:7" x14ac:dyDescent="0.25">
      <c r="C148" s="174"/>
      <c r="D148" s="174"/>
      <c r="E148" s="174"/>
      <c r="F148" s="174"/>
      <c r="G148" s="174"/>
    </row>
    <row r="149" spans="3:7" x14ac:dyDescent="0.25">
      <c r="C149" s="174"/>
      <c r="D149" s="174"/>
      <c r="E149" s="174"/>
      <c r="F149" s="174"/>
      <c r="G149" s="174"/>
    </row>
    <row r="150" spans="3:7" x14ac:dyDescent="0.25">
      <c r="C150" s="174"/>
      <c r="D150" s="174"/>
      <c r="E150" s="174"/>
      <c r="F150" s="174"/>
      <c r="G150" s="174"/>
    </row>
    <row r="151" spans="3:7" x14ac:dyDescent="0.25">
      <c r="C151" s="174"/>
      <c r="D151" s="174"/>
      <c r="E151" s="174"/>
      <c r="F151" s="174"/>
      <c r="G151" s="174"/>
    </row>
    <row r="152" spans="3:7" x14ac:dyDescent="0.25">
      <c r="C152" s="174"/>
      <c r="D152" s="174"/>
      <c r="E152" s="174"/>
      <c r="F152" s="174"/>
      <c r="G152" s="174"/>
    </row>
    <row r="153" spans="3:7" x14ac:dyDescent="0.25">
      <c r="C153" s="174"/>
      <c r="D153" s="174"/>
      <c r="E153" s="174"/>
      <c r="F153" s="174"/>
      <c r="G153" s="174"/>
    </row>
    <row r="154" spans="3:7" x14ac:dyDescent="0.25">
      <c r="C154" s="174"/>
      <c r="D154" s="174"/>
      <c r="E154" s="174"/>
      <c r="F154" s="174"/>
      <c r="G154" s="174"/>
    </row>
    <row r="155" spans="3:7" x14ac:dyDescent="0.25">
      <c r="C155" s="174"/>
      <c r="D155" s="174"/>
      <c r="E155" s="174"/>
      <c r="F155" s="174"/>
      <c r="G155" s="174"/>
    </row>
    <row r="156" spans="3:7" x14ac:dyDescent="0.25">
      <c r="C156" s="174"/>
      <c r="D156" s="174"/>
      <c r="E156" s="174"/>
      <c r="F156" s="174"/>
      <c r="G156" s="174"/>
    </row>
    <row r="157" spans="3:7" x14ac:dyDescent="0.25">
      <c r="C157" s="174"/>
      <c r="D157" s="174"/>
      <c r="E157" s="174"/>
      <c r="F157" s="174"/>
      <c r="G157" s="174"/>
    </row>
    <row r="158" spans="3:7" x14ac:dyDescent="0.25">
      <c r="C158" s="174"/>
      <c r="D158" s="174"/>
      <c r="E158" s="174"/>
      <c r="F158" s="174"/>
      <c r="G158" s="174"/>
    </row>
    <row r="159" spans="3:7" x14ac:dyDescent="0.25">
      <c r="C159" s="174"/>
      <c r="D159" s="174"/>
      <c r="E159" s="174"/>
      <c r="F159" s="174"/>
      <c r="G159" s="174"/>
    </row>
    <row r="160" spans="3:7" x14ac:dyDescent="0.25">
      <c r="C160" s="174"/>
      <c r="D160" s="174"/>
      <c r="E160" s="174"/>
      <c r="F160" s="174"/>
      <c r="G160" s="174"/>
    </row>
    <row r="161" spans="3:7" x14ac:dyDescent="0.25">
      <c r="C161" s="174"/>
      <c r="D161" s="174"/>
      <c r="E161" s="174"/>
      <c r="F161" s="174"/>
      <c r="G161" s="174"/>
    </row>
    <row r="162" spans="3:7" x14ac:dyDescent="0.25">
      <c r="C162" s="174"/>
      <c r="D162" s="174"/>
      <c r="E162" s="174"/>
      <c r="F162" s="174"/>
      <c r="G162" s="174"/>
    </row>
    <row r="163" spans="3:7" x14ac:dyDescent="0.25">
      <c r="C163" s="174"/>
      <c r="D163" s="174"/>
      <c r="E163" s="174"/>
      <c r="F163" s="174"/>
      <c r="G163" s="174"/>
    </row>
    <row r="164" spans="3:7" x14ac:dyDescent="0.25">
      <c r="C164" s="174"/>
      <c r="D164" s="174"/>
      <c r="E164" s="174"/>
      <c r="F164" s="174"/>
      <c r="G164" s="174"/>
    </row>
    <row r="165" spans="3:7" x14ac:dyDescent="0.25">
      <c r="C165" s="174"/>
      <c r="D165" s="174"/>
      <c r="E165" s="174"/>
      <c r="F165" s="174"/>
      <c r="G165" s="174"/>
    </row>
    <row r="166" spans="3:7" x14ac:dyDescent="0.25">
      <c r="C166" s="174"/>
      <c r="D166" s="174"/>
      <c r="E166" s="174"/>
      <c r="F166" s="174"/>
      <c r="G166" s="174"/>
    </row>
    <row r="167" spans="3:7" x14ac:dyDescent="0.25">
      <c r="C167" s="174"/>
      <c r="D167" s="174"/>
      <c r="E167" s="174"/>
      <c r="F167" s="174"/>
      <c r="G167" s="174"/>
    </row>
  </sheetData>
  <sheetProtection algorithmName="SHA-512" hashValue="y7/zuiPNg9IfG+dkPlLXMivStpO17q322qe77Oc8IkFP+QZR3BG4Uf0b6cZ6EjmjJdKCCd819AiMQRyA9coOnw==" saltValue="ih4fzgd5lB5787gLxRj8CA==" spinCount="100000" sheet="1" objects="1" scenarios="1"/>
  <mergeCells count="59">
    <mergeCell ref="AR11:AR14"/>
    <mergeCell ref="AS11:AS14"/>
    <mergeCell ref="AR8:AR10"/>
    <mergeCell ref="AS8:AS10"/>
    <mergeCell ref="E8:E10"/>
    <mergeCell ref="Z8:Z10"/>
    <mergeCell ref="J8:J10"/>
    <mergeCell ref="K8:Y8"/>
    <mergeCell ref="K9:M9"/>
    <mergeCell ref="N9:P9"/>
    <mergeCell ref="Q9:S9"/>
    <mergeCell ref="T9:V9"/>
    <mergeCell ref="W9:Y9"/>
    <mergeCell ref="AO9:AP9"/>
    <mergeCell ref="AQ9:AQ10"/>
    <mergeCell ref="AI8:AK8"/>
    <mergeCell ref="AO8:AQ8"/>
    <mergeCell ref="AL9:AM9"/>
    <mergeCell ref="AN9:AN10"/>
    <mergeCell ref="AI9:AJ9"/>
    <mergeCell ref="AK9:AK10"/>
    <mergeCell ref="AH9:AH10"/>
    <mergeCell ref="AA9:AA10"/>
    <mergeCell ref="AB9:AC9"/>
    <mergeCell ref="AE8:AE10"/>
    <mergeCell ref="AL8:AN8"/>
    <mergeCell ref="H6:Z6"/>
    <mergeCell ref="A7:C7"/>
    <mergeCell ref="H7:U7"/>
    <mergeCell ref="V7:Y7"/>
    <mergeCell ref="AF8:AH8"/>
    <mergeCell ref="AA8:AD8"/>
    <mergeCell ref="A8:A10"/>
    <mergeCell ref="B8:B10"/>
    <mergeCell ref="C8:C10"/>
    <mergeCell ref="H8:H10"/>
    <mergeCell ref="I8:I10"/>
    <mergeCell ref="F8:F10"/>
    <mergeCell ref="G8:G10"/>
    <mergeCell ref="D8:D10"/>
    <mergeCell ref="AD9:AD10"/>
    <mergeCell ref="AF9:AG9"/>
    <mergeCell ref="H4:Z4"/>
    <mergeCell ref="A5:C5"/>
    <mergeCell ref="H5:U5"/>
    <mergeCell ref="V5:W5"/>
    <mergeCell ref="X5:Z5"/>
    <mergeCell ref="H1:Z1"/>
    <mergeCell ref="H2:Z2"/>
    <mergeCell ref="H3:Q3"/>
    <mergeCell ref="R3:S3"/>
    <mergeCell ref="T3:Z3"/>
    <mergeCell ref="C11:C13"/>
    <mergeCell ref="D11:D13"/>
    <mergeCell ref="B11:B13"/>
    <mergeCell ref="A11:A13"/>
    <mergeCell ref="A1:C3"/>
    <mergeCell ref="A4:C4"/>
    <mergeCell ref="A6:C6"/>
  </mergeCells>
  <conditionalFormatting sqref="V11 Y11 S11 P11 M11">
    <cfRule type="cellIs" dxfId="47" priority="22" stopIfTrue="1" operator="equal">
      <formula>0</formula>
    </cfRule>
    <cfRule type="cellIs" dxfId="46" priority="23" stopIfTrue="1" operator="greaterThan">
      <formula>1</formula>
    </cfRule>
    <cfRule type="cellIs" dxfId="45" priority="24" stopIfTrue="1" operator="between">
      <formula>0.9</formula>
      <formula>1</formula>
    </cfRule>
    <cfRule type="cellIs" dxfId="44" priority="25" stopIfTrue="1" operator="between">
      <formula>0.7</formula>
      <formula>0.8999</formula>
    </cfRule>
    <cfRule type="cellIs" dxfId="43" priority="26" stopIfTrue="1" operator="between">
      <formula>0.00001</formula>
      <formula>0.6999</formula>
    </cfRule>
  </conditionalFormatting>
  <conditionalFormatting sqref="V14 Y14 S14">
    <cfRule type="cellIs" dxfId="42" priority="11" stopIfTrue="1" operator="equal">
      <formula>0</formula>
    </cfRule>
    <cfRule type="cellIs" dxfId="41" priority="12" stopIfTrue="1" operator="greaterThan">
      <formula>1</formula>
    </cfRule>
    <cfRule type="cellIs" dxfId="40" priority="13" stopIfTrue="1" operator="between">
      <formula>0.9</formula>
      <formula>1</formula>
    </cfRule>
    <cfRule type="cellIs" dxfId="39" priority="14" stopIfTrue="1" operator="between">
      <formula>0.7</formula>
      <formula>0.8999</formula>
    </cfRule>
    <cfRule type="cellIs" dxfId="38" priority="15" stopIfTrue="1" operator="between">
      <formula>0.00001</formula>
      <formula>0.6999</formula>
    </cfRule>
  </conditionalFormatting>
  <conditionalFormatting sqref="M14">
    <cfRule type="cellIs" dxfId="37" priority="16" stopIfTrue="1" operator="equal">
      <formula>0</formula>
    </cfRule>
    <cfRule type="cellIs" dxfId="36" priority="17" stopIfTrue="1" operator="greaterThan">
      <formula>1</formula>
    </cfRule>
    <cfRule type="cellIs" dxfId="35" priority="18" stopIfTrue="1" operator="between">
      <formula>0.9</formula>
      <formula>1</formula>
    </cfRule>
    <cfRule type="cellIs" dxfId="34" priority="19" stopIfTrue="1" operator="between">
      <formula>0.7</formula>
      <formula>0.8999</formula>
    </cfRule>
    <cfRule type="cellIs" dxfId="33" priority="20" stopIfTrue="1" operator="between">
      <formula>0.00001</formula>
      <formula>0.6999</formula>
    </cfRule>
  </conditionalFormatting>
  <conditionalFormatting sqref="V12:V13 Y12:Y13 S12:S13 M12:M13 P12:P13">
    <cfRule type="cellIs" dxfId="32" priority="6" stopIfTrue="1" operator="equal">
      <formula>0</formula>
    </cfRule>
    <cfRule type="cellIs" dxfId="31" priority="7" stopIfTrue="1" operator="greaterThan">
      <formula>1</formula>
    </cfRule>
    <cfRule type="cellIs" dxfId="30" priority="8" stopIfTrue="1" operator="between">
      <formula>0.9</formula>
      <formula>1</formula>
    </cfRule>
    <cfRule type="cellIs" dxfId="29" priority="9" stopIfTrue="1" operator="between">
      <formula>0.7</formula>
      <formula>0.8999</formula>
    </cfRule>
    <cfRule type="cellIs" dxfId="28" priority="10" stopIfTrue="1" operator="between">
      <formula>0.00001</formula>
      <formula>0.6999</formula>
    </cfRule>
  </conditionalFormatting>
  <conditionalFormatting sqref="P14">
    <cfRule type="cellIs" dxfId="27" priority="1" stopIfTrue="1" operator="equal">
      <formula>0</formula>
    </cfRule>
    <cfRule type="cellIs" dxfId="26" priority="2" stopIfTrue="1" operator="greaterThan">
      <formula>1</formula>
    </cfRule>
    <cfRule type="cellIs" dxfId="25" priority="3" stopIfTrue="1" operator="between">
      <formula>0.9</formula>
      <formula>1</formula>
    </cfRule>
    <cfRule type="cellIs" dxfId="24" priority="4" stopIfTrue="1" operator="between">
      <formula>0.7</formula>
      <formula>0.8999</formula>
    </cfRule>
    <cfRule type="cellIs" dxfId="23" priority="5" stopIfTrue="1" operator="between">
      <formula>0.00001</formula>
      <formula>0.6999</formula>
    </cfRule>
  </conditionalFormatting>
  <dataValidations count="13">
    <dataValidation type="list" allowBlank="1" showInputMessage="1" showErrorMessage="1" prompt="Seleccione el Objetivo Estratégico" sqref="A11">
      <formula1>$C$114:$C$120</formula1>
    </dataValidation>
    <dataValidation type="list" allowBlank="1" showInputMessage="1" showErrorMessage="1" prompt="Seleccione la Vigencia del Plan de Gestión" sqref="R3:S3">
      <formula1>$A$81:$A$92</formula1>
    </dataValidation>
    <dataValidation type="list" allowBlank="1" showInputMessage="1" showErrorMessage="1" prompt="Elija una opción del menu desplegable" sqref="I11:I13">
      <formula1>$C$105:$C$106</formula1>
    </dataValidation>
    <dataValidation allowBlank="1" showInputMessage="1" showErrorMessage="1" sqref="X5:Z5"/>
    <dataValidation type="list" allowBlank="1" showInputMessage="1" showErrorMessage="1" error="Debe seleccionar uno de los campos del menu desplegable" prompt="Elija una opción del menu desplegable" sqref="J11:J13">
      <formula1>$C$110:$C$111</formula1>
    </dataValidation>
    <dataValidation errorStyle="information" showInputMessage="1" showErrorMessage="1" error="Elija una Categoría" prompt="Elija una Categoría del menú desplegable" sqref="AE11:AE14"/>
    <dataValidation type="list" errorStyle="information" showInputMessage="1" showErrorMessage="1" error="Elija una Categoría" prompt="Elija una opción del menú desplegable" sqref="AD11:AD13">
      <formula1>$C$100:$C$102</formula1>
    </dataValidation>
    <dataValidation showInputMessage="1" showErrorMessage="1" sqref="V5"/>
    <dataValidation type="list" allowBlank="1" showInputMessage="1" showErrorMessage="1" prompt="Elija una opción del menú desplegable" sqref="H5">
      <formula1>$C$81:$C$96</formula1>
    </dataValidation>
    <dataValidation type="list" allowBlank="1" showInputMessage="1" showErrorMessage="1" error="Debe seleccionar uno de los campos del menu desplegable" prompt="Elija una opción del menu desplegable" sqref="J14">
      <formula1>$G$134:$G$135</formula1>
    </dataValidation>
    <dataValidation type="list" errorStyle="information" showInputMessage="1" showErrorMessage="1" error="Elija una Categoría" prompt="Elija una opción del menú desplegable" sqref="AD14">
      <formula1>$G$124:$G$126</formula1>
    </dataValidation>
    <dataValidation type="list" allowBlank="1" showInputMessage="1" showErrorMessage="1" prompt="Elija una opción del menu desplegable" sqref="I14">
      <formula1>$D$112:$D$113</formula1>
    </dataValidation>
    <dataValidation type="list" allowBlank="1" showInputMessage="1" showErrorMessage="1" sqref="A14">
      <formula1>$G$138:$G$144</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6CDC66"/>
  </sheetPr>
  <dimension ref="A1:BG171"/>
  <sheetViews>
    <sheetView topLeftCell="B4" zoomScaleNormal="100" workbookViewId="0">
      <selection activeCell="I13" sqref="I13"/>
    </sheetView>
  </sheetViews>
  <sheetFormatPr baseColWidth="10" defaultColWidth="11.5" defaultRowHeight="12.75" x14ac:dyDescent="0.25"/>
  <cols>
    <col min="1" max="1" width="12.125" style="48" customWidth="1"/>
    <col min="2" max="2" width="5.125" style="48" customWidth="1"/>
    <col min="3" max="3" width="21.5" style="48" customWidth="1"/>
    <col min="4" max="5" width="8.75" style="48" customWidth="1"/>
    <col min="6" max="6" width="27" style="48" customWidth="1"/>
    <col min="7" max="7" width="10" style="48" customWidth="1"/>
    <col min="8" max="8" width="6.375" style="48" customWidth="1"/>
    <col min="9" max="9" width="13.125" style="48" customWidth="1"/>
    <col min="10" max="10" width="17.375" style="48" customWidth="1"/>
    <col min="11" max="11" width="10.375" style="48" customWidth="1"/>
    <col min="12" max="12" width="11.375" style="48" customWidth="1"/>
    <col min="13" max="13" width="8.125" style="48" customWidth="1"/>
    <col min="14" max="14" width="9.375" style="48" customWidth="1"/>
    <col min="15" max="15" width="11.875" style="48" customWidth="1"/>
    <col min="16" max="16" width="9.875" style="48" customWidth="1"/>
    <col min="17" max="17" width="6.125" style="48" customWidth="1"/>
    <col min="18" max="18" width="5.5" style="48" customWidth="1"/>
    <col min="19" max="19" width="8.5" style="48" customWidth="1"/>
    <col min="20" max="20" width="6.5" style="48" customWidth="1"/>
    <col min="21" max="21" width="5.625" style="48" customWidth="1"/>
    <col min="22" max="23" width="7.5" style="48" customWidth="1"/>
    <col min="24" max="24" width="8.125" style="48" customWidth="1"/>
    <col min="25" max="25" width="8.875" style="48" customWidth="1"/>
    <col min="26" max="26" width="11.25" style="48" customWidth="1"/>
    <col min="27" max="27" width="17.875" style="48" customWidth="1"/>
    <col min="28" max="29" width="15.5" style="48" customWidth="1"/>
    <col min="30" max="30" width="11.5" style="48" customWidth="1"/>
    <col min="31" max="31" width="13.875" style="48" customWidth="1"/>
    <col min="32" max="33" width="11.5" style="48" hidden="1" customWidth="1"/>
    <col min="34" max="34" width="24.375" style="48" hidden="1" customWidth="1"/>
    <col min="35" max="36" width="11.5" style="48" hidden="1" customWidth="1"/>
    <col min="37" max="37" width="24.375" style="48" hidden="1" customWidth="1"/>
    <col min="38" max="39" width="11.5" style="48" customWidth="1"/>
    <col min="40" max="40" width="24.375" style="48" customWidth="1"/>
    <col min="41" max="42" width="11.5" style="48" customWidth="1"/>
    <col min="43" max="43" width="24.375" style="48" customWidth="1"/>
    <col min="44" max="16384" width="11.5" style="48"/>
  </cols>
  <sheetData>
    <row r="1" spans="1:47" ht="27.75" customHeight="1" x14ac:dyDescent="0.25">
      <c r="A1" s="1872"/>
      <c r="B1" s="1873"/>
      <c r="C1" s="1873"/>
      <c r="D1" s="1873"/>
      <c r="E1" s="1873"/>
      <c r="F1" s="1874"/>
      <c r="G1" s="43"/>
      <c r="H1" s="1894" t="s">
        <v>176</v>
      </c>
      <c r="I1" s="1895"/>
      <c r="J1" s="1895"/>
      <c r="K1" s="1895"/>
      <c r="L1" s="1895"/>
      <c r="M1" s="1895"/>
      <c r="N1" s="1895"/>
      <c r="O1" s="1895"/>
      <c r="P1" s="1895"/>
      <c r="Q1" s="1895"/>
      <c r="R1" s="1895"/>
      <c r="S1" s="1895"/>
      <c r="T1" s="1895"/>
      <c r="U1" s="1895"/>
      <c r="V1" s="1895"/>
      <c r="W1" s="1895"/>
      <c r="X1" s="1895"/>
      <c r="Y1" s="1895"/>
      <c r="Z1" s="1896"/>
      <c r="AA1" s="44"/>
      <c r="AB1" s="44"/>
      <c r="AC1" s="44"/>
      <c r="AD1" s="45"/>
      <c r="AE1" s="45"/>
      <c r="AF1" s="46"/>
      <c r="AG1" s="46"/>
      <c r="AH1" s="46"/>
      <c r="AI1" s="46"/>
      <c r="AJ1" s="46"/>
      <c r="AK1" s="46"/>
      <c r="AL1" s="46"/>
      <c r="AM1" s="46"/>
      <c r="AN1" s="46"/>
      <c r="AO1" s="46"/>
      <c r="AP1" s="46"/>
      <c r="AQ1" s="47"/>
    </row>
    <row r="2" spans="1:47" ht="27.75" customHeight="1" x14ac:dyDescent="0.25">
      <c r="A2" s="1875"/>
      <c r="B2" s="1876"/>
      <c r="C2" s="1876"/>
      <c r="D2" s="1876"/>
      <c r="E2" s="1876"/>
      <c r="F2" s="1877"/>
      <c r="G2" s="49"/>
      <c r="H2" s="1897" t="s">
        <v>0</v>
      </c>
      <c r="I2" s="1898"/>
      <c r="J2" s="1898"/>
      <c r="K2" s="1898"/>
      <c r="L2" s="1898"/>
      <c r="M2" s="1898"/>
      <c r="N2" s="1898"/>
      <c r="O2" s="1898"/>
      <c r="P2" s="1898"/>
      <c r="Q2" s="1898"/>
      <c r="R2" s="1898"/>
      <c r="S2" s="1898"/>
      <c r="T2" s="1898"/>
      <c r="U2" s="1898"/>
      <c r="V2" s="1898"/>
      <c r="W2" s="1898"/>
      <c r="X2" s="1898"/>
      <c r="Y2" s="1898"/>
      <c r="Z2" s="1899"/>
      <c r="AA2" s="50"/>
      <c r="AB2" s="50"/>
      <c r="AC2" s="50"/>
      <c r="AD2" s="51"/>
      <c r="AE2" s="51"/>
      <c r="AQ2" s="52"/>
    </row>
    <row r="3" spans="1:47" ht="27.75" customHeight="1" x14ac:dyDescent="0.25">
      <c r="A3" s="1875"/>
      <c r="B3" s="1876"/>
      <c r="C3" s="1876"/>
      <c r="D3" s="1876"/>
      <c r="E3" s="1876"/>
      <c r="F3" s="1877"/>
      <c r="G3" s="49"/>
      <c r="H3" s="1900" t="s">
        <v>210</v>
      </c>
      <c r="I3" s="1901"/>
      <c r="J3" s="1901"/>
      <c r="K3" s="1901"/>
      <c r="L3" s="1901"/>
      <c r="M3" s="1901"/>
      <c r="N3" s="1901"/>
      <c r="O3" s="1901"/>
      <c r="P3" s="1901"/>
      <c r="Q3" s="1901"/>
      <c r="R3" s="1902">
        <v>2019</v>
      </c>
      <c r="S3" s="1902"/>
      <c r="T3" s="1903"/>
      <c r="U3" s="1903"/>
      <c r="V3" s="1903"/>
      <c r="W3" s="1903"/>
      <c r="X3" s="1903"/>
      <c r="Y3" s="1903"/>
      <c r="Z3" s="1904"/>
      <c r="AA3" s="53"/>
      <c r="AB3" s="53"/>
      <c r="AC3" s="53"/>
      <c r="AD3" s="51"/>
      <c r="AQ3" s="52"/>
    </row>
    <row r="4" spans="1:47" ht="27.75" customHeight="1" x14ac:dyDescent="0.25">
      <c r="A4" s="1878" t="s">
        <v>1</v>
      </c>
      <c r="B4" s="1879"/>
      <c r="C4" s="1879"/>
      <c r="D4" s="1879"/>
      <c r="E4" s="1879"/>
      <c r="F4" s="1880"/>
      <c r="G4" s="54"/>
      <c r="H4" s="1905" t="s">
        <v>227</v>
      </c>
      <c r="I4" s="1906"/>
      <c r="J4" s="1906"/>
      <c r="K4" s="1906"/>
      <c r="L4" s="1906"/>
      <c r="M4" s="1906"/>
      <c r="N4" s="1906"/>
      <c r="O4" s="1906"/>
      <c r="P4" s="1906"/>
      <c r="Q4" s="1906"/>
      <c r="R4" s="1906"/>
      <c r="S4" s="1906"/>
      <c r="T4" s="1906"/>
      <c r="U4" s="1906"/>
      <c r="V4" s="1906"/>
      <c r="W4" s="1906"/>
      <c r="X4" s="1906"/>
      <c r="Y4" s="1906"/>
      <c r="Z4" s="1907"/>
      <c r="AA4" s="55"/>
      <c r="AB4" s="55"/>
      <c r="AC4" s="55"/>
      <c r="AD4" s="55"/>
      <c r="AQ4" s="52"/>
    </row>
    <row r="5" spans="1:47" s="58" customFormat="1" ht="27.75" customHeight="1" x14ac:dyDescent="0.25">
      <c r="A5" s="1878" t="s">
        <v>235</v>
      </c>
      <c r="B5" s="1879"/>
      <c r="C5" s="1879"/>
      <c r="D5" s="1879"/>
      <c r="E5" s="1879"/>
      <c r="F5" s="1880"/>
      <c r="G5" s="54"/>
      <c r="H5" s="1897" t="s">
        <v>179</v>
      </c>
      <c r="I5" s="1898"/>
      <c r="J5" s="1898"/>
      <c r="K5" s="1898"/>
      <c r="L5" s="1898"/>
      <c r="M5" s="1898"/>
      <c r="N5" s="1898"/>
      <c r="O5" s="1898"/>
      <c r="P5" s="1898"/>
      <c r="Q5" s="1898"/>
      <c r="R5" s="1898"/>
      <c r="S5" s="1898"/>
      <c r="T5" s="1898"/>
      <c r="U5" s="1908"/>
      <c r="V5" s="1897" t="s">
        <v>4</v>
      </c>
      <c r="W5" s="1898"/>
      <c r="X5" s="1909" t="str">
        <f>IF(ISERROR(VLOOKUP($H$5,$F$87:$L$101,6,0))," ",VLOOKUP($H$5,$F$87:$L$101,6,0))</f>
        <v>I Direccionamiento y Control</v>
      </c>
      <c r="Y5" s="1909"/>
      <c r="Z5" s="1910"/>
      <c r="AA5" s="56"/>
      <c r="AB5" s="48"/>
      <c r="AC5" s="48"/>
      <c r="AD5" s="50"/>
      <c r="AE5" s="57"/>
      <c r="AF5" s="48"/>
      <c r="AG5" s="48"/>
      <c r="AH5" s="48"/>
      <c r="AQ5" s="59"/>
    </row>
    <row r="6" spans="1:47" s="58" customFormat="1" ht="27.75" customHeight="1" x14ac:dyDescent="0.25">
      <c r="A6" s="1878" t="s">
        <v>5</v>
      </c>
      <c r="B6" s="1879"/>
      <c r="C6" s="1879"/>
      <c r="D6" s="1879"/>
      <c r="E6" s="1879"/>
      <c r="F6" s="1880"/>
      <c r="G6" s="54"/>
      <c r="H6" s="1911" t="str">
        <f>IF(ISERROR(VLOOKUP(H5,F88:M101,7,0))," ",(VLOOKUP(H5,F88:M101,7,0)))</f>
        <v>Estratégico</v>
      </c>
      <c r="I6" s="1912"/>
      <c r="J6" s="1912"/>
      <c r="K6" s="1912"/>
      <c r="L6" s="1912"/>
      <c r="M6" s="1912"/>
      <c r="N6" s="1912"/>
      <c r="O6" s="1912"/>
      <c r="P6" s="1912"/>
      <c r="Q6" s="1912"/>
      <c r="R6" s="1912"/>
      <c r="S6" s="1912"/>
      <c r="T6" s="1912"/>
      <c r="U6" s="1912"/>
      <c r="V6" s="1912"/>
      <c r="W6" s="1912"/>
      <c r="X6" s="1912"/>
      <c r="Y6" s="1912"/>
      <c r="Z6" s="1913"/>
      <c r="AA6" s="48"/>
      <c r="AB6" s="48"/>
      <c r="AC6" s="60"/>
      <c r="AD6" s="50"/>
      <c r="AE6" s="57"/>
      <c r="AF6" s="55"/>
      <c r="AG6" s="55"/>
      <c r="AH6" s="55"/>
      <c r="AI6" s="55"/>
      <c r="AJ6" s="55"/>
      <c r="AK6" s="55"/>
      <c r="AL6" s="55"/>
      <c r="AM6" s="55"/>
      <c r="AN6" s="55"/>
      <c r="AO6" s="55"/>
      <c r="AP6" s="55"/>
      <c r="AQ6" s="61"/>
      <c r="AR6" s="55"/>
      <c r="AS6" s="55"/>
      <c r="AT6" s="55"/>
      <c r="AU6" s="55"/>
    </row>
    <row r="7" spans="1:47" s="58" customFormat="1" ht="27.75" customHeight="1" thickBot="1" x14ac:dyDescent="0.3">
      <c r="A7" s="1914" t="s">
        <v>6</v>
      </c>
      <c r="B7" s="1915"/>
      <c r="C7" s="1915"/>
      <c r="D7" s="1915"/>
      <c r="E7" s="1915"/>
      <c r="F7" s="1916"/>
      <c r="G7" s="62"/>
      <c r="H7" s="1917" t="s">
        <v>236</v>
      </c>
      <c r="I7" s="1918"/>
      <c r="J7" s="1918"/>
      <c r="K7" s="1918"/>
      <c r="L7" s="1918"/>
      <c r="M7" s="1918"/>
      <c r="N7" s="1918"/>
      <c r="O7" s="1918"/>
      <c r="P7" s="1918"/>
      <c r="Q7" s="1918"/>
      <c r="R7" s="1918"/>
      <c r="S7" s="1918"/>
      <c r="T7" s="1918"/>
      <c r="U7" s="1918"/>
      <c r="V7" s="1919" t="s">
        <v>7</v>
      </c>
      <c r="W7" s="1920"/>
      <c r="X7" s="1920"/>
      <c r="Y7" s="1920"/>
      <c r="Z7" s="63" t="e">
        <f>SUM(#REF!)</f>
        <v>#REF!</v>
      </c>
      <c r="AA7" s="48"/>
      <c r="AB7" s="48"/>
      <c r="AC7" s="48"/>
      <c r="AD7" s="48"/>
      <c r="AF7" s="48"/>
      <c r="AG7" s="48"/>
      <c r="AH7" s="48"/>
      <c r="AQ7" s="59"/>
    </row>
    <row r="8" spans="1:47" s="58" customFormat="1" ht="13.5" thickBot="1" x14ac:dyDescent="0.3">
      <c r="A8" s="1881" t="s">
        <v>8</v>
      </c>
      <c r="B8" s="1884" t="s">
        <v>9</v>
      </c>
      <c r="C8" s="1887" t="s">
        <v>10</v>
      </c>
      <c r="D8" s="1867" t="s">
        <v>11</v>
      </c>
      <c r="E8" s="1867" t="s">
        <v>271</v>
      </c>
      <c r="F8" s="1889" t="s">
        <v>253</v>
      </c>
      <c r="G8" s="1887" t="s">
        <v>228</v>
      </c>
      <c r="H8" s="1924" t="s">
        <v>11</v>
      </c>
      <c r="I8" s="1927" t="s">
        <v>12</v>
      </c>
      <c r="J8" s="1930" t="s">
        <v>13</v>
      </c>
      <c r="K8" s="1941" t="s">
        <v>14</v>
      </c>
      <c r="L8" s="1942"/>
      <c r="M8" s="1942"/>
      <c r="N8" s="1942"/>
      <c r="O8" s="1942"/>
      <c r="P8" s="1942"/>
      <c r="Q8" s="1942"/>
      <c r="R8" s="1942"/>
      <c r="S8" s="1942"/>
      <c r="T8" s="1942"/>
      <c r="U8" s="1942"/>
      <c r="V8" s="1942"/>
      <c r="W8" s="1942"/>
      <c r="X8" s="1942"/>
      <c r="Y8" s="1943"/>
      <c r="Z8" s="1921" t="s">
        <v>15</v>
      </c>
      <c r="AA8" s="1945" t="s">
        <v>16</v>
      </c>
      <c r="AB8" s="1946"/>
      <c r="AC8" s="1946"/>
      <c r="AD8" s="1947"/>
      <c r="AE8" s="1962" t="s">
        <v>17</v>
      </c>
      <c r="AF8" s="1965" t="s">
        <v>18</v>
      </c>
      <c r="AG8" s="1966"/>
      <c r="AH8" s="1967"/>
      <c r="AI8" s="1965" t="s">
        <v>19</v>
      </c>
      <c r="AJ8" s="1966"/>
      <c r="AK8" s="1967"/>
      <c r="AL8" s="1965" t="s">
        <v>20</v>
      </c>
      <c r="AM8" s="1966"/>
      <c r="AN8" s="1967"/>
      <c r="AO8" s="1965" t="s">
        <v>21</v>
      </c>
      <c r="AP8" s="1966"/>
      <c r="AQ8" s="1968"/>
      <c r="AR8" s="1953" t="s">
        <v>706</v>
      </c>
      <c r="AS8" s="1953" t="s">
        <v>718</v>
      </c>
    </row>
    <row r="9" spans="1:47" s="58" customFormat="1" ht="15.75" customHeight="1" x14ac:dyDescent="0.25">
      <c r="A9" s="1882"/>
      <c r="B9" s="1885"/>
      <c r="C9" s="1888"/>
      <c r="D9" s="1868"/>
      <c r="E9" s="1868"/>
      <c r="F9" s="1890"/>
      <c r="G9" s="1888"/>
      <c r="H9" s="1925"/>
      <c r="I9" s="1928"/>
      <c r="J9" s="1931"/>
      <c r="K9" s="1933" t="s">
        <v>22</v>
      </c>
      <c r="L9" s="1934"/>
      <c r="M9" s="1937"/>
      <c r="N9" s="1933" t="s">
        <v>23</v>
      </c>
      <c r="O9" s="1934"/>
      <c r="P9" s="1935"/>
      <c r="Q9" s="1936" t="s">
        <v>24</v>
      </c>
      <c r="R9" s="1934"/>
      <c r="S9" s="1937"/>
      <c r="T9" s="1933" t="s">
        <v>25</v>
      </c>
      <c r="U9" s="1934"/>
      <c r="V9" s="1935"/>
      <c r="W9" s="1938" t="s">
        <v>26</v>
      </c>
      <c r="X9" s="1939"/>
      <c r="Y9" s="1940"/>
      <c r="Z9" s="1922"/>
      <c r="AA9" s="1948" t="s">
        <v>27</v>
      </c>
      <c r="AB9" s="1950" t="s">
        <v>28</v>
      </c>
      <c r="AC9" s="1951"/>
      <c r="AD9" s="1952" t="s">
        <v>29</v>
      </c>
      <c r="AE9" s="1963"/>
      <c r="AF9" s="1969" t="s">
        <v>30</v>
      </c>
      <c r="AG9" s="1951"/>
      <c r="AH9" s="1944" t="s">
        <v>31</v>
      </c>
      <c r="AI9" s="1969" t="s">
        <v>30</v>
      </c>
      <c r="AJ9" s="1951"/>
      <c r="AK9" s="1944" t="s">
        <v>31</v>
      </c>
      <c r="AL9" s="1969" t="s">
        <v>30</v>
      </c>
      <c r="AM9" s="1951"/>
      <c r="AN9" s="1944" t="s">
        <v>31</v>
      </c>
      <c r="AO9" s="1969" t="s">
        <v>30</v>
      </c>
      <c r="AP9" s="1951"/>
      <c r="AQ9" s="1952" t="s">
        <v>31</v>
      </c>
      <c r="AR9" s="1954"/>
      <c r="AS9" s="1954"/>
    </row>
    <row r="10" spans="1:47" s="58" customFormat="1" ht="24.75" customHeight="1" thickBot="1" x14ac:dyDescent="0.3">
      <c r="A10" s="1883"/>
      <c r="B10" s="1886"/>
      <c r="C10" s="1888"/>
      <c r="D10" s="1869"/>
      <c r="E10" s="1869"/>
      <c r="F10" s="1891"/>
      <c r="G10" s="1888"/>
      <c r="H10" s="1926"/>
      <c r="I10" s="1929"/>
      <c r="J10" s="1932"/>
      <c r="K10" s="690" t="s">
        <v>32</v>
      </c>
      <c r="L10" s="691" t="s">
        <v>33</v>
      </c>
      <c r="M10" s="692" t="s">
        <v>34</v>
      </c>
      <c r="N10" s="690" t="s">
        <v>32</v>
      </c>
      <c r="O10" s="691" t="s">
        <v>33</v>
      </c>
      <c r="P10" s="697" t="s">
        <v>34</v>
      </c>
      <c r="Q10" s="698" t="s">
        <v>32</v>
      </c>
      <c r="R10" s="691" t="s">
        <v>33</v>
      </c>
      <c r="S10" s="692" t="s">
        <v>34</v>
      </c>
      <c r="T10" s="690" t="s">
        <v>32</v>
      </c>
      <c r="U10" s="691" t="s">
        <v>33</v>
      </c>
      <c r="V10" s="697" t="s">
        <v>34</v>
      </c>
      <c r="W10" s="698" t="s">
        <v>35</v>
      </c>
      <c r="X10" s="691" t="s">
        <v>36</v>
      </c>
      <c r="Y10" s="699" t="s">
        <v>34</v>
      </c>
      <c r="Z10" s="1923"/>
      <c r="AA10" s="1949"/>
      <c r="AB10" s="66" t="s">
        <v>37</v>
      </c>
      <c r="AC10" s="66" t="s">
        <v>38</v>
      </c>
      <c r="AD10" s="1952"/>
      <c r="AE10" s="1964"/>
      <c r="AF10" s="1127" t="s">
        <v>37</v>
      </c>
      <c r="AG10" s="66" t="s">
        <v>38</v>
      </c>
      <c r="AH10" s="1944"/>
      <c r="AI10" s="1127" t="s">
        <v>37</v>
      </c>
      <c r="AJ10" s="66" t="s">
        <v>38</v>
      </c>
      <c r="AK10" s="1944"/>
      <c r="AL10" s="1127" t="s">
        <v>37</v>
      </c>
      <c r="AM10" s="66" t="s">
        <v>38</v>
      </c>
      <c r="AN10" s="1944"/>
      <c r="AO10" s="1127" t="s">
        <v>37</v>
      </c>
      <c r="AP10" s="66" t="s">
        <v>38</v>
      </c>
      <c r="AQ10" s="1952"/>
      <c r="AR10" s="1955"/>
      <c r="AS10" s="1955"/>
    </row>
    <row r="11" spans="1:47" s="58" customFormat="1" ht="47.25" customHeight="1" x14ac:dyDescent="0.25">
      <c r="A11" s="1892" t="s">
        <v>598</v>
      </c>
      <c r="B11" s="1865">
        <v>7</v>
      </c>
      <c r="C11" s="1865" t="s">
        <v>267</v>
      </c>
      <c r="D11" s="1870">
        <v>1</v>
      </c>
      <c r="E11" s="93" t="s">
        <v>560</v>
      </c>
      <c r="F11" s="68" t="s">
        <v>262</v>
      </c>
      <c r="G11" s="94">
        <v>3472</v>
      </c>
      <c r="H11" s="98">
        <v>0.15</v>
      </c>
      <c r="I11" s="96" t="s">
        <v>39</v>
      </c>
      <c r="J11" s="688" t="s">
        <v>106</v>
      </c>
      <c r="K11" s="882">
        <v>1</v>
      </c>
      <c r="L11" s="1252">
        <f t="shared" ref="L11:L12" si="0">IF(I11="Cantidad",AF11,IF(ISERROR(AF11/AG11),0,AF11/AG11))</f>
        <v>2.7281021897810218</v>
      </c>
      <c r="M11" s="694">
        <f t="shared" ref="M11:M13" si="1">IF(ISERROR(L11/K11),0,(L11/K11))</f>
        <v>2.7281021897810218</v>
      </c>
      <c r="N11" s="1249">
        <v>1</v>
      </c>
      <c r="O11" s="1252">
        <f t="shared" ref="O11:O13" si="2">IF(L11="Cantidad",AI11,IF(ISERROR(AI11/AJ11),0,AI11/AJ11))</f>
        <v>3.4315068493150687</v>
      </c>
      <c r="P11" s="694">
        <f t="shared" ref="P11:P13" si="3">IF(ISERROR(O11/N11),0,(O11/N11))</f>
        <v>3.4315068493150687</v>
      </c>
      <c r="Q11" s="881">
        <v>1</v>
      </c>
      <c r="R11" s="1252">
        <f t="shared" ref="R11:R13" si="4">IF(I11="Cantidad",AL11,IF(ISERROR(AL11/AM11),0,AL11/AM11))</f>
        <v>4.5829875518672196</v>
      </c>
      <c r="S11" s="694">
        <f t="shared" ref="S11:S13" si="5">IF(ISERROR(R11/Q11),0,(R11/Q11))</f>
        <v>4.5829875518672196</v>
      </c>
      <c r="T11" s="881">
        <v>1</v>
      </c>
      <c r="U11" s="693">
        <f t="shared" ref="U11:U13" si="6">IF(I11="Cantidad",AO11,IF(ISERROR(AO11/AP11),0,AO11/AP11))</f>
        <v>0</v>
      </c>
      <c r="V11" s="694">
        <f t="shared" ref="V11:V13" si="7">IF(ISERROR(U11/T11),0,(U11/T11))</f>
        <v>0</v>
      </c>
      <c r="W11" s="881">
        <f t="shared" ref="W11:W13" si="8">IF(J11="SUMA",(K11+N11+Q11+T11),(K11))</f>
        <v>1</v>
      </c>
      <c r="X11" s="693">
        <f t="shared" ref="X11:X13" si="9">IF(ISERROR(AVERAGE(L11,O11,R11,U11)),0,IF(J11="Suma",(L11+O11+R11+U11),AVERAGE(L11,O11,R11,U11)))</f>
        <v>2.6856491477408273</v>
      </c>
      <c r="Y11" s="694">
        <f t="shared" ref="Y11:Y13" si="10">IF(ISERROR(X11/W11),0,(X11/W11))</f>
        <v>2.6856491477408273</v>
      </c>
      <c r="Z11" s="1121">
        <f t="shared" ref="Z11:Z13" si="11">+Y11*H11</f>
        <v>0.4028473721611241</v>
      </c>
      <c r="AA11" s="336" t="s">
        <v>544</v>
      </c>
      <c r="AB11" s="817" t="s">
        <v>379</v>
      </c>
      <c r="AC11" s="817" t="s">
        <v>380</v>
      </c>
      <c r="AD11" s="794" t="s">
        <v>43</v>
      </c>
      <c r="AE11" s="886" t="s">
        <v>357</v>
      </c>
      <c r="AF11" s="1129">
        <v>1495</v>
      </c>
      <c r="AG11" s="693">
        <v>548</v>
      </c>
      <c r="AH11" s="800"/>
      <c r="AI11" s="802">
        <v>1503</v>
      </c>
      <c r="AJ11" s="795">
        <v>438</v>
      </c>
      <c r="AK11" s="803"/>
      <c r="AL11" s="802">
        <v>2209</v>
      </c>
      <c r="AM11" s="795">
        <v>482</v>
      </c>
      <c r="AN11" s="806"/>
      <c r="AO11" s="802"/>
      <c r="AP11" s="795"/>
      <c r="AQ11" s="806"/>
      <c r="AR11" s="1956" t="s">
        <v>721</v>
      </c>
      <c r="AS11" s="1959">
        <f>SUM(Z11:Z17)</f>
        <v>1.0403473721611243</v>
      </c>
    </row>
    <row r="12" spans="1:47" s="58" customFormat="1" ht="35.25" customHeight="1" x14ac:dyDescent="0.25">
      <c r="A12" s="1892"/>
      <c r="B12" s="1865"/>
      <c r="C12" s="1865"/>
      <c r="D12" s="1870"/>
      <c r="E12" s="93" t="s">
        <v>626</v>
      </c>
      <c r="F12" s="94" t="s">
        <v>263</v>
      </c>
      <c r="G12" s="95">
        <v>95</v>
      </c>
      <c r="H12" s="98">
        <v>0.15</v>
      </c>
      <c r="I12" s="96" t="s">
        <v>39</v>
      </c>
      <c r="J12" s="688" t="s">
        <v>106</v>
      </c>
      <c r="K12" s="883">
        <v>1</v>
      </c>
      <c r="L12" s="93">
        <f t="shared" si="0"/>
        <v>1</v>
      </c>
      <c r="M12" s="696">
        <f t="shared" ref="M12" si="12">IF(ISERROR(L12/K12),0,(L12/K12))</f>
        <v>1</v>
      </c>
      <c r="N12" s="1250">
        <v>1</v>
      </c>
      <c r="O12" s="93">
        <f t="shared" ref="O12" si="13">IF(L12="Cantidad",AI12,IF(ISERROR(AI12/AJ12),0,AI12/AJ12))</f>
        <v>1</v>
      </c>
      <c r="P12" s="696">
        <f t="shared" ref="P12" si="14">IF(ISERROR(O12/N12),0,(O12/N12))</f>
        <v>1</v>
      </c>
      <c r="Q12" s="883">
        <v>1</v>
      </c>
      <c r="R12" s="68">
        <f t="shared" ref="R12" si="15">IF(I12="Cantidad",AL12,IF(ISERROR(AL12/AM12),0,AL12/AM12))</f>
        <v>1</v>
      </c>
      <c r="S12" s="696">
        <f t="shared" ref="S12" si="16">IF(ISERROR(R12/Q12),0,(R12/Q12))</f>
        <v>1</v>
      </c>
      <c r="T12" s="883">
        <v>1</v>
      </c>
      <c r="U12" s="68">
        <f t="shared" ref="U12" si="17">IF(I12="Cantidad",AO12,IF(ISERROR(AO12/AP12),0,AO12/AP12))</f>
        <v>0</v>
      </c>
      <c r="V12" s="696">
        <f t="shared" ref="V12" si="18">IF(ISERROR(U12/T12),0,(U12/T12))</f>
        <v>0</v>
      </c>
      <c r="W12" s="883">
        <f t="shared" ref="W12" si="19">IF(J12="SUMA",(K12+N12+Q12+T12),(K12))</f>
        <v>1</v>
      </c>
      <c r="X12" s="68">
        <f t="shared" ref="X12" si="20">IF(ISERROR(AVERAGE(L12,O12,R12,U12)),0,IF(J12="Suma",(L12+O12+R12+U12),AVERAGE(L12,O12,R12,U12)))</f>
        <v>0.75</v>
      </c>
      <c r="Y12" s="696">
        <f t="shared" ref="Y12" si="21">IF(ISERROR(X12/W12),0,(X12/W12))</f>
        <v>0.75</v>
      </c>
      <c r="Z12" s="1122">
        <f t="shared" ref="Z12" si="22">+Y12*H12</f>
        <v>0.11249999999999999</v>
      </c>
      <c r="AA12" s="337" t="s">
        <v>545</v>
      </c>
      <c r="AB12" s="818" t="s">
        <v>420</v>
      </c>
      <c r="AC12" s="818" t="s">
        <v>381</v>
      </c>
      <c r="AD12" s="792" t="s">
        <v>43</v>
      </c>
      <c r="AE12" s="887" t="s">
        <v>424</v>
      </c>
      <c r="AF12" s="695">
        <v>29</v>
      </c>
      <c r="AG12" s="68">
        <f t="shared" ref="AG12:AG17" si="23">+AF12</f>
        <v>29</v>
      </c>
      <c r="AH12" s="801"/>
      <c r="AI12" s="804">
        <v>28</v>
      </c>
      <c r="AJ12" s="793">
        <v>28</v>
      </c>
      <c r="AK12" s="805"/>
      <c r="AL12" s="804">
        <v>74</v>
      </c>
      <c r="AM12" s="793">
        <v>74</v>
      </c>
      <c r="AN12" s="807"/>
      <c r="AO12" s="804"/>
      <c r="AP12" s="793"/>
      <c r="AQ12" s="807"/>
      <c r="AR12" s="1957"/>
      <c r="AS12" s="1960"/>
    </row>
    <row r="13" spans="1:47" s="58" customFormat="1" ht="36" customHeight="1" x14ac:dyDescent="0.25">
      <c r="A13" s="1892"/>
      <c r="B13" s="1865"/>
      <c r="C13" s="1865"/>
      <c r="D13" s="1870"/>
      <c r="E13" s="93" t="s">
        <v>627</v>
      </c>
      <c r="F13" s="68" t="s">
        <v>264</v>
      </c>
      <c r="G13" s="74">
        <v>69</v>
      </c>
      <c r="H13" s="98">
        <v>0.15</v>
      </c>
      <c r="I13" s="96" t="s">
        <v>39</v>
      </c>
      <c r="J13" s="688" t="s">
        <v>106</v>
      </c>
      <c r="K13" s="96">
        <v>1</v>
      </c>
      <c r="L13" s="93">
        <f t="shared" ref="L13" si="24">IF(I13="Cantidad",AF13,IF(ISERROR(AF13/AG13),0,AF13/AG13))</f>
        <v>1</v>
      </c>
      <c r="M13" s="696">
        <f t="shared" si="1"/>
        <v>1</v>
      </c>
      <c r="N13" s="1250">
        <v>1</v>
      </c>
      <c r="O13" s="93">
        <f t="shared" si="2"/>
        <v>1</v>
      </c>
      <c r="P13" s="696">
        <f t="shared" si="3"/>
        <v>1</v>
      </c>
      <c r="Q13" s="883">
        <v>1</v>
      </c>
      <c r="R13" s="68">
        <f t="shared" si="4"/>
        <v>1</v>
      </c>
      <c r="S13" s="696">
        <f t="shared" si="5"/>
        <v>1</v>
      </c>
      <c r="T13" s="883">
        <v>1</v>
      </c>
      <c r="U13" s="68">
        <f t="shared" si="6"/>
        <v>0</v>
      </c>
      <c r="V13" s="696">
        <f t="shared" si="7"/>
        <v>0</v>
      </c>
      <c r="W13" s="883">
        <f t="shared" si="8"/>
        <v>1</v>
      </c>
      <c r="X13" s="68">
        <f t="shared" si="9"/>
        <v>0.75</v>
      </c>
      <c r="Y13" s="696">
        <f t="shared" si="10"/>
        <v>0.75</v>
      </c>
      <c r="Z13" s="1122">
        <f t="shared" si="11"/>
        <v>0.11249999999999999</v>
      </c>
      <c r="AA13" s="337" t="s">
        <v>546</v>
      </c>
      <c r="AB13" s="818" t="s">
        <v>382</v>
      </c>
      <c r="AC13" s="818" t="s">
        <v>383</v>
      </c>
      <c r="AD13" s="792" t="s">
        <v>43</v>
      </c>
      <c r="AE13" s="887" t="s">
        <v>424</v>
      </c>
      <c r="AF13" s="1130">
        <v>35</v>
      </c>
      <c r="AG13" s="1128">
        <f t="shared" si="23"/>
        <v>35</v>
      </c>
      <c r="AH13" s="801"/>
      <c r="AI13" s="804">
        <v>39</v>
      </c>
      <c r="AJ13" s="793">
        <v>39</v>
      </c>
      <c r="AK13" s="805"/>
      <c r="AL13" s="804">
        <v>64</v>
      </c>
      <c r="AM13" s="793">
        <v>64</v>
      </c>
      <c r="AN13" s="807"/>
      <c r="AO13" s="804"/>
      <c r="AP13" s="793"/>
      <c r="AQ13" s="807"/>
      <c r="AR13" s="1957"/>
      <c r="AS13" s="1960"/>
    </row>
    <row r="14" spans="1:47" s="58" customFormat="1" ht="52.5" customHeight="1" x14ac:dyDescent="0.25">
      <c r="A14" s="1892"/>
      <c r="B14" s="1865"/>
      <c r="C14" s="1865"/>
      <c r="D14" s="1870"/>
      <c r="E14" s="93" t="s">
        <v>628</v>
      </c>
      <c r="F14" s="68" t="s">
        <v>301</v>
      </c>
      <c r="G14" s="74">
        <v>7849</v>
      </c>
      <c r="H14" s="98">
        <v>0.15</v>
      </c>
      <c r="I14" s="96" t="s">
        <v>39</v>
      </c>
      <c r="J14" s="688" t="s">
        <v>106</v>
      </c>
      <c r="K14" s="96">
        <v>1</v>
      </c>
      <c r="L14" s="93">
        <f t="shared" ref="L14:L17" si="25">IF(I14="Cantidad",AF14,IF(ISERROR(AF14/AG14),0,AF14/AG14))</f>
        <v>1</v>
      </c>
      <c r="M14" s="696">
        <f t="shared" ref="M14:M17" si="26">IF(ISERROR(L14/K14),0,(L14/K14))</f>
        <v>1</v>
      </c>
      <c r="N14" s="1250">
        <v>1</v>
      </c>
      <c r="O14" s="93">
        <f t="shared" ref="O14:O17" si="27">IF(L14="Cantidad",AI14,IF(ISERROR(AI14/AJ14),0,AI14/AJ14))</f>
        <v>1</v>
      </c>
      <c r="P14" s="696">
        <f t="shared" ref="P14:P17" si="28">IF(ISERROR(O14/N14),0,(O14/N14))</f>
        <v>1</v>
      </c>
      <c r="Q14" s="883">
        <v>1</v>
      </c>
      <c r="R14" s="68">
        <f t="shared" ref="R14:R17" si="29">IF(I14="Cantidad",AL14,IF(ISERROR(AL14/AM14),0,AL14/AM14))</f>
        <v>1</v>
      </c>
      <c r="S14" s="696">
        <f t="shared" ref="S14:S17" si="30">IF(ISERROR(R14/Q14),0,(R14/Q14))</f>
        <v>1</v>
      </c>
      <c r="T14" s="883">
        <v>1</v>
      </c>
      <c r="U14" s="68">
        <f t="shared" ref="U14:U17" si="31">IF(I14="Cantidad",AO14,IF(ISERROR(AO14/AP14),0,AO14/AP14))</f>
        <v>0</v>
      </c>
      <c r="V14" s="696">
        <f t="shared" ref="V14:V17" si="32">IF(ISERROR(U14/T14),0,(U14/T14))</f>
        <v>0</v>
      </c>
      <c r="W14" s="883">
        <f t="shared" ref="W14:W17" si="33">IF(J14="SUMA",(K14+N14+Q14+T14),(K14))</f>
        <v>1</v>
      </c>
      <c r="X14" s="68">
        <f t="shared" ref="X14:X17" si="34">IF(ISERROR(AVERAGE(L14,O14,R14,U14)),0,IF(J14="Suma",(L14+O14+R14+U14),AVERAGE(L14,O14,R14,U14)))</f>
        <v>0.75</v>
      </c>
      <c r="Y14" s="696">
        <f t="shared" ref="Y14:Y17" si="35">IF(ISERROR(X14/W14),0,(X14/W14))</f>
        <v>0.75</v>
      </c>
      <c r="Z14" s="1122">
        <f t="shared" ref="Z14:Z17" si="36">+Y14*H14</f>
        <v>0.11249999999999999</v>
      </c>
      <c r="AA14" s="337" t="s">
        <v>547</v>
      </c>
      <c r="AB14" s="818" t="s">
        <v>384</v>
      </c>
      <c r="AC14" s="818" t="s">
        <v>385</v>
      </c>
      <c r="AD14" s="792" t="s">
        <v>43</v>
      </c>
      <c r="AE14" s="887" t="s">
        <v>425</v>
      </c>
      <c r="AF14" s="695">
        <v>1705</v>
      </c>
      <c r="AG14" s="68">
        <f t="shared" si="23"/>
        <v>1705</v>
      </c>
      <c r="AH14" s="801"/>
      <c r="AI14" s="804">
        <v>2227</v>
      </c>
      <c r="AJ14" s="793">
        <v>2227</v>
      </c>
      <c r="AK14" s="805"/>
      <c r="AL14" s="804">
        <v>1881</v>
      </c>
      <c r="AM14" s="793">
        <v>1881</v>
      </c>
      <c r="AN14" s="807"/>
      <c r="AO14" s="804"/>
      <c r="AP14" s="793"/>
      <c r="AQ14" s="807"/>
      <c r="AR14" s="1957"/>
      <c r="AS14" s="1960"/>
    </row>
    <row r="15" spans="1:47" s="58" customFormat="1" ht="33.75" customHeight="1" x14ac:dyDescent="0.25">
      <c r="A15" s="1892"/>
      <c r="B15" s="1865"/>
      <c r="C15" s="1865"/>
      <c r="D15" s="1870"/>
      <c r="E15" s="93" t="s">
        <v>629</v>
      </c>
      <c r="F15" s="68" t="s">
        <v>265</v>
      </c>
      <c r="G15" s="74">
        <v>61</v>
      </c>
      <c r="H15" s="98">
        <v>0.15</v>
      </c>
      <c r="I15" s="96" t="s">
        <v>39</v>
      </c>
      <c r="J15" s="688" t="s">
        <v>106</v>
      </c>
      <c r="K15" s="96">
        <v>1</v>
      </c>
      <c r="L15" s="93">
        <f t="shared" si="25"/>
        <v>1</v>
      </c>
      <c r="M15" s="696">
        <f t="shared" si="26"/>
        <v>1</v>
      </c>
      <c r="N15" s="1250">
        <v>1</v>
      </c>
      <c r="O15" s="93">
        <f t="shared" si="27"/>
        <v>1</v>
      </c>
      <c r="P15" s="696">
        <f t="shared" si="28"/>
        <v>1</v>
      </c>
      <c r="Q15" s="883">
        <v>1</v>
      </c>
      <c r="R15" s="68">
        <f t="shared" si="29"/>
        <v>1</v>
      </c>
      <c r="S15" s="696">
        <f t="shared" si="30"/>
        <v>1</v>
      </c>
      <c r="T15" s="883">
        <v>1</v>
      </c>
      <c r="U15" s="68">
        <f t="shared" si="31"/>
        <v>0</v>
      </c>
      <c r="V15" s="696">
        <f t="shared" si="32"/>
        <v>0</v>
      </c>
      <c r="W15" s="883">
        <f t="shared" si="33"/>
        <v>1</v>
      </c>
      <c r="X15" s="68">
        <f t="shared" si="34"/>
        <v>0.75</v>
      </c>
      <c r="Y15" s="696">
        <f t="shared" si="35"/>
        <v>0.75</v>
      </c>
      <c r="Z15" s="1122">
        <f t="shared" si="36"/>
        <v>0.11249999999999999</v>
      </c>
      <c r="AA15" s="337" t="s">
        <v>548</v>
      </c>
      <c r="AB15" s="818" t="s">
        <v>386</v>
      </c>
      <c r="AC15" s="818" t="s">
        <v>387</v>
      </c>
      <c r="AD15" s="792" t="s">
        <v>43</v>
      </c>
      <c r="AE15" s="887" t="s">
        <v>357</v>
      </c>
      <c r="AF15" s="695">
        <v>11</v>
      </c>
      <c r="AG15" s="68">
        <f t="shared" si="23"/>
        <v>11</v>
      </c>
      <c r="AH15" s="801"/>
      <c r="AI15" s="804">
        <v>13</v>
      </c>
      <c r="AJ15" s="793">
        <v>13</v>
      </c>
      <c r="AK15" s="805"/>
      <c r="AL15" s="804">
        <v>17</v>
      </c>
      <c r="AM15" s="793">
        <v>17</v>
      </c>
      <c r="AN15" s="807"/>
      <c r="AO15" s="804"/>
      <c r="AP15" s="793"/>
      <c r="AQ15" s="807"/>
      <c r="AR15" s="1957"/>
      <c r="AS15" s="1960"/>
    </row>
    <row r="16" spans="1:47" s="58" customFormat="1" ht="30" customHeight="1" x14ac:dyDescent="0.25">
      <c r="A16" s="1892"/>
      <c r="B16" s="1865"/>
      <c r="C16" s="1865"/>
      <c r="D16" s="1870"/>
      <c r="E16" s="93" t="s">
        <v>648</v>
      </c>
      <c r="F16" s="68" t="s">
        <v>269</v>
      </c>
      <c r="G16" s="74">
        <v>203</v>
      </c>
      <c r="H16" s="98">
        <v>0.15</v>
      </c>
      <c r="I16" s="96" t="s">
        <v>39</v>
      </c>
      <c r="J16" s="688" t="s">
        <v>106</v>
      </c>
      <c r="K16" s="96">
        <v>1</v>
      </c>
      <c r="L16" s="93">
        <f t="shared" si="25"/>
        <v>1</v>
      </c>
      <c r="M16" s="696">
        <f t="shared" si="26"/>
        <v>1</v>
      </c>
      <c r="N16" s="1250">
        <v>1</v>
      </c>
      <c r="O16" s="93">
        <f t="shared" si="27"/>
        <v>1</v>
      </c>
      <c r="P16" s="696">
        <f t="shared" si="28"/>
        <v>1</v>
      </c>
      <c r="Q16" s="883">
        <v>1</v>
      </c>
      <c r="R16" s="68">
        <f t="shared" si="29"/>
        <v>1</v>
      </c>
      <c r="S16" s="696">
        <f t="shared" si="30"/>
        <v>1</v>
      </c>
      <c r="T16" s="883">
        <v>1</v>
      </c>
      <c r="U16" s="68">
        <f t="shared" si="31"/>
        <v>0</v>
      </c>
      <c r="V16" s="696">
        <f t="shared" si="32"/>
        <v>0</v>
      </c>
      <c r="W16" s="883">
        <f t="shared" si="33"/>
        <v>1</v>
      </c>
      <c r="X16" s="68">
        <f t="shared" si="34"/>
        <v>0.75</v>
      </c>
      <c r="Y16" s="696">
        <f t="shared" si="35"/>
        <v>0.75</v>
      </c>
      <c r="Z16" s="1122">
        <f t="shared" si="36"/>
        <v>0.11249999999999999</v>
      </c>
      <c r="AA16" s="337" t="s">
        <v>549</v>
      </c>
      <c r="AB16" s="818" t="s">
        <v>550</v>
      </c>
      <c r="AC16" s="818" t="s">
        <v>551</v>
      </c>
      <c r="AD16" s="792" t="s">
        <v>43</v>
      </c>
      <c r="AE16" s="887" t="s">
        <v>357</v>
      </c>
      <c r="AF16" s="695">
        <v>87</v>
      </c>
      <c r="AG16" s="68">
        <f t="shared" si="23"/>
        <v>87</v>
      </c>
      <c r="AH16" s="801"/>
      <c r="AI16" s="804">
        <v>68</v>
      </c>
      <c r="AJ16" s="793">
        <v>68</v>
      </c>
      <c r="AK16" s="805"/>
      <c r="AL16" s="804">
        <v>63</v>
      </c>
      <c r="AM16" s="793">
        <v>63</v>
      </c>
      <c r="AN16" s="807"/>
      <c r="AO16" s="804"/>
      <c r="AP16" s="793"/>
      <c r="AQ16" s="807"/>
      <c r="AR16" s="1957"/>
      <c r="AS16" s="1960"/>
    </row>
    <row r="17" spans="1:45" s="58" customFormat="1" ht="51" customHeight="1" thickBot="1" x14ac:dyDescent="0.3">
      <c r="A17" s="1893"/>
      <c r="B17" s="1866"/>
      <c r="C17" s="1866"/>
      <c r="D17" s="1871"/>
      <c r="E17" s="99" t="s">
        <v>630</v>
      </c>
      <c r="F17" s="100" t="s">
        <v>266</v>
      </c>
      <c r="G17" s="100">
        <v>372</v>
      </c>
      <c r="H17" s="101">
        <v>0.1</v>
      </c>
      <c r="I17" s="97" t="s">
        <v>39</v>
      </c>
      <c r="J17" s="689" t="s">
        <v>106</v>
      </c>
      <c r="K17" s="97">
        <v>1</v>
      </c>
      <c r="L17" s="99">
        <f t="shared" si="25"/>
        <v>1</v>
      </c>
      <c r="M17" s="67">
        <f t="shared" si="26"/>
        <v>1</v>
      </c>
      <c r="N17" s="1251">
        <v>1</v>
      </c>
      <c r="O17" s="99">
        <f t="shared" si="27"/>
        <v>1</v>
      </c>
      <c r="P17" s="67">
        <f t="shared" si="28"/>
        <v>1</v>
      </c>
      <c r="Q17" s="884">
        <v>1</v>
      </c>
      <c r="R17" s="65">
        <f t="shared" si="29"/>
        <v>1</v>
      </c>
      <c r="S17" s="67">
        <f t="shared" si="30"/>
        <v>1</v>
      </c>
      <c r="T17" s="884">
        <v>1</v>
      </c>
      <c r="U17" s="65">
        <f t="shared" si="31"/>
        <v>0</v>
      </c>
      <c r="V17" s="67">
        <f t="shared" si="32"/>
        <v>0</v>
      </c>
      <c r="W17" s="884">
        <f t="shared" si="33"/>
        <v>1</v>
      </c>
      <c r="X17" s="65">
        <f t="shared" si="34"/>
        <v>0.75</v>
      </c>
      <c r="Y17" s="67">
        <f t="shared" si="35"/>
        <v>0.75</v>
      </c>
      <c r="Z17" s="1123">
        <f t="shared" si="36"/>
        <v>7.5000000000000011E-2</v>
      </c>
      <c r="AA17" s="1124" t="s">
        <v>552</v>
      </c>
      <c r="AB17" s="834" t="s">
        <v>553</v>
      </c>
      <c r="AC17" s="834" t="s">
        <v>554</v>
      </c>
      <c r="AD17" s="1125" t="s">
        <v>43</v>
      </c>
      <c r="AE17" s="1126" t="s">
        <v>426</v>
      </c>
      <c r="AF17" s="64">
        <v>142</v>
      </c>
      <c r="AG17" s="65">
        <f t="shared" si="23"/>
        <v>142</v>
      </c>
      <c r="AH17" s="69"/>
      <c r="AI17" s="70">
        <v>205</v>
      </c>
      <c r="AJ17" s="71">
        <v>205</v>
      </c>
      <c r="AK17" s="72"/>
      <c r="AL17" s="70">
        <v>251</v>
      </c>
      <c r="AM17" s="71">
        <v>251</v>
      </c>
      <c r="AN17" s="73"/>
      <c r="AO17" s="70"/>
      <c r="AP17" s="71"/>
      <c r="AQ17" s="73"/>
      <c r="AR17" s="1958"/>
      <c r="AS17" s="1961"/>
    </row>
    <row r="18" spans="1:45" s="58" customFormat="1" ht="12" customHeight="1" x14ac:dyDescent="0.25">
      <c r="A18" s="48"/>
      <c r="B18" s="48"/>
      <c r="C18" s="48"/>
      <c r="D18" s="48"/>
      <c r="E18" s="48"/>
      <c r="F18" s="75"/>
      <c r="G18" s="48"/>
      <c r="H18" s="76">
        <f>SUM(H11:H17)</f>
        <v>1</v>
      </c>
      <c r="I18" s="48"/>
      <c r="J18" s="48"/>
      <c r="K18" s="48"/>
      <c r="L18" s="48"/>
      <c r="M18" s="48"/>
      <c r="N18" s="48"/>
      <c r="O18" s="48"/>
      <c r="P18" s="48"/>
      <c r="Q18" s="48"/>
      <c r="R18" s="48"/>
      <c r="S18" s="48"/>
      <c r="T18" s="48"/>
      <c r="U18" s="48"/>
      <c r="V18" s="48"/>
      <c r="W18" s="48"/>
      <c r="X18" s="48"/>
      <c r="Y18" s="48"/>
      <c r="Z18" s="48"/>
      <c r="AA18" s="48"/>
      <c r="AB18" s="48"/>
      <c r="AC18" s="48"/>
      <c r="AD18" s="48"/>
      <c r="AF18" s="48"/>
      <c r="AG18" s="48"/>
      <c r="AH18" s="48"/>
    </row>
    <row r="19" spans="1:45" s="58" customFormat="1"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F19" s="48">
        <f>457+1143+105</f>
        <v>1705</v>
      </c>
      <c r="AG19" s="48"/>
      <c r="AH19" s="48"/>
    </row>
    <row r="20" spans="1:45" s="58" customFormat="1"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F20" s="48"/>
      <c r="AG20" s="48"/>
      <c r="AH20" s="48"/>
    </row>
    <row r="21" spans="1:45" s="58" customFormat="1" x14ac:dyDescent="0.25">
      <c r="A21" s="48"/>
      <c r="B21" s="48"/>
      <c r="C21" s="48"/>
      <c r="D21" s="48"/>
      <c r="E21" s="48"/>
      <c r="F21" s="75"/>
      <c r="G21" s="48"/>
      <c r="H21" s="48"/>
      <c r="I21" s="48"/>
      <c r="J21" s="48"/>
      <c r="K21" s="48"/>
      <c r="L21" s="48"/>
      <c r="M21" s="48"/>
      <c r="N21" s="48"/>
      <c r="O21" s="48"/>
      <c r="P21" s="48"/>
      <c r="Q21" s="48"/>
      <c r="R21" s="48"/>
      <c r="S21" s="48"/>
      <c r="T21" s="48"/>
      <c r="U21" s="48"/>
      <c r="V21" s="48"/>
      <c r="W21" s="48"/>
      <c r="X21" s="48"/>
      <c r="Y21" s="48"/>
      <c r="Z21" s="48"/>
      <c r="AA21" s="48"/>
      <c r="AB21" s="48"/>
      <c r="AC21" s="48"/>
      <c r="AD21" s="48"/>
      <c r="AF21" s="48"/>
      <c r="AG21" s="48"/>
      <c r="AH21" s="48"/>
    </row>
    <row r="22" spans="1:45" s="58" customFormat="1"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F22" s="48"/>
      <c r="AG22" s="48"/>
      <c r="AH22" s="48"/>
    </row>
    <row r="23" spans="1:45" s="58" customFormat="1"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F23" s="48"/>
      <c r="AG23" s="48"/>
      <c r="AH23" s="48"/>
    </row>
    <row r="24" spans="1:45" s="58" customFormat="1"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F24" s="48"/>
      <c r="AG24" s="48"/>
      <c r="AH24" s="48"/>
    </row>
    <row r="25" spans="1:45" s="58" customFormat="1"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F25" s="48"/>
      <c r="AG25" s="48"/>
      <c r="AH25" s="48"/>
    </row>
    <row r="26" spans="1:45" s="58" customFormat="1"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F26" s="48"/>
      <c r="AG26" s="48"/>
      <c r="AH26" s="48"/>
    </row>
    <row r="27" spans="1:45" s="58" customFormat="1"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F27" s="48"/>
      <c r="AG27" s="48"/>
      <c r="AH27" s="48"/>
    </row>
    <row r="28" spans="1:45" s="58" customFormat="1"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F28" s="48"/>
      <c r="AG28" s="48"/>
      <c r="AH28" s="48"/>
    </row>
    <row r="29" spans="1:45" s="58" customFormat="1"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F29" s="48"/>
      <c r="AG29" s="48"/>
      <c r="AH29" s="48"/>
    </row>
    <row r="30" spans="1:45" s="58" customFormat="1"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F30" s="48"/>
      <c r="AG30" s="48"/>
      <c r="AH30" s="48"/>
    </row>
    <row r="31" spans="1:45" s="58" customFormat="1"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F31" s="48"/>
      <c r="AG31" s="48"/>
      <c r="AH31" s="48"/>
    </row>
    <row r="32" spans="1:45" s="58" customFormat="1" x14ac:dyDescent="0.2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F32" s="48"/>
      <c r="AG32" s="48"/>
      <c r="AH32" s="48"/>
    </row>
    <row r="33" spans="1:34" s="58" customFormat="1" x14ac:dyDescent="0.2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F33" s="48"/>
      <c r="AG33" s="48"/>
      <c r="AH33" s="48"/>
    </row>
    <row r="34" spans="1:34" s="58" customFormat="1" x14ac:dyDescent="0.2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F34" s="48"/>
      <c r="AG34" s="48"/>
      <c r="AH34" s="48"/>
    </row>
    <row r="35" spans="1:34" s="58" customFormat="1" x14ac:dyDescent="0.2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F35" s="48"/>
      <c r="AG35" s="48"/>
      <c r="AH35" s="48"/>
    </row>
    <row r="36" spans="1:34" s="58" customFormat="1" x14ac:dyDescent="0.2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F36" s="48"/>
      <c r="AG36" s="48"/>
      <c r="AH36" s="48"/>
    </row>
    <row r="37" spans="1:34" s="58" customFormat="1" x14ac:dyDescent="0.2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F37" s="48"/>
      <c r="AG37" s="48"/>
      <c r="AH37" s="48"/>
    </row>
    <row r="38" spans="1:34" s="58" customFormat="1" x14ac:dyDescent="0.2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F38" s="48"/>
      <c r="AG38" s="48"/>
      <c r="AH38" s="48"/>
    </row>
    <row r="39" spans="1:34" s="58" customFormat="1" x14ac:dyDescent="0.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F39" s="48"/>
      <c r="AG39" s="48"/>
      <c r="AH39" s="48"/>
    </row>
    <row r="40" spans="1:34" s="58" customFormat="1" x14ac:dyDescent="0.25">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F40" s="48"/>
      <c r="AG40" s="48"/>
      <c r="AH40" s="48"/>
    </row>
    <row r="41" spans="1:34" s="58" customFormat="1" x14ac:dyDescent="0.2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F41" s="48"/>
      <c r="AG41" s="48"/>
      <c r="AH41" s="48"/>
    </row>
    <row r="42" spans="1:34" s="58" customFormat="1" x14ac:dyDescent="0.2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F42" s="48"/>
      <c r="AG42" s="48"/>
      <c r="AH42" s="48"/>
    </row>
    <row r="43" spans="1:34" s="58" customFormat="1" x14ac:dyDescent="0.2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F43" s="48"/>
      <c r="AG43" s="48"/>
      <c r="AH43" s="48"/>
    </row>
    <row r="44" spans="1:34" s="58" customFormat="1" x14ac:dyDescent="0.2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F44" s="48"/>
      <c r="AG44" s="48"/>
      <c r="AH44" s="48"/>
    </row>
    <row r="45" spans="1:34" s="58" customFormat="1" x14ac:dyDescent="0.2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F45" s="48"/>
      <c r="AG45" s="48"/>
      <c r="AH45" s="48"/>
    </row>
    <row r="46" spans="1:34" s="58" customFormat="1" x14ac:dyDescent="0.2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F46" s="48"/>
      <c r="AG46" s="48"/>
      <c r="AH46" s="48"/>
    </row>
    <row r="47" spans="1:34" s="58" customFormat="1" x14ac:dyDescent="0.2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F47" s="48"/>
      <c r="AG47" s="48"/>
      <c r="AH47" s="48"/>
    </row>
    <row r="48" spans="1:34" s="58" customFormat="1" x14ac:dyDescent="0.2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F48" s="48"/>
      <c r="AG48" s="48"/>
      <c r="AH48" s="48"/>
    </row>
    <row r="49" spans="1:34" s="58" customFormat="1" x14ac:dyDescent="0.2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F49" s="48"/>
      <c r="AG49" s="48"/>
      <c r="AH49" s="48"/>
    </row>
    <row r="50" spans="1:34" s="58" customFormat="1" x14ac:dyDescent="0.2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F50" s="48"/>
      <c r="AG50" s="48"/>
      <c r="AH50" s="48"/>
    </row>
    <row r="51" spans="1:34" s="58" customFormat="1" x14ac:dyDescent="0.2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F51" s="48"/>
      <c r="AG51" s="48"/>
      <c r="AH51" s="48"/>
    </row>
    <row r="52" spans="1:34" s="58" customFormat="1" x14ac:dyDescent="0.2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F52" s="48"/>
      <c r="AG52" s="48"/>
      <c r="AH52" s="48"/>
    </row>
    <row r="53" spans="1:34" s="58" customFormat="1" x14ac:dyDescent="0.2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F53" s="48"/>
      <c r="AG53" s="48"/>
      <c r="AH53" s="48"/>
    </row>
    <row r="54" spans="1:34" s="58" customFormat="1" x14ac:dyDescent="0.25">
      <c r="A54" s="48"/>
      <c r="B54" s="48"/>
      <c r="C54" s="48"/>
      <c r="D54" s="48"/>
      <c r="E54" s="48"/>
      <c r="F54" s="48"/>
      <c r="G54" s="48"/>
      <c r="H54" s="48"/>
      <c r="I54" s="48"/>
      <c r="J54" s="77"/>
      <c r="K54" s="48"/>
      <c r="L54" s="48"/>
      <c r="M54" s="48"/>
      <c r="N54" s="48"/>
      <c r="O54" s="48"/>
      <c r="P54" s="48"/>
      <c r="Q54" s="48"/>
      <c r="R54" s="48"/>
      <c r="S54" s="48"/>
      <c r="T54" s="48"/>
      <c r="U54" s="48"/>
      <c r="V54" s="48"/>
      <c r="W54" s="48"/>
      <c r="X54" s="48"/>
      <c r="Y54" s="48"/>
      <c r="Z54" s="48"/>
      <c r="AA54" s="48"/>
      <c r="AB54" s="48"/>
      <c r="AC54" s="48"/>
      <c r="AD54" s="48"/>
      <c r="AF54" s="48"/>
      <c r="AG54" s="48"/>
      <c r="AH54" s="48"/>
    </row>
    <row r="55" spans="1:34" s="58" customFormat="1" x14ac:dyDescent="0.25">
      <c r="A55" s="48"/>
      <c r="B55" s="48"/>
      <c r="C55" s="48"/>
      <c r="D55" s="48"/>
      <c r="E55" s="48"/>
      <c r="F55" s="48"/>
      <c r="G55" s="48"/>
      <c r="H55" s="48"/>
      <c r="I55" s="48"/>
      <c r="J55" s="77"/>
      <c r="K55" s="48"/>
      <c r="L55" s="48"/>
      <c r="M55" s="48"/>
      <c r="N55" s="48"/>
      <c r="O55" s="48"/>
      <c r="P55" s="48"/>
      <c r="Q55" s="48"/>
      <c r="R55" s="48"/>
      <c r="S55" s="48"/>
      <c r="T55" s="48"/>
      <c r="U55" s="48"/>
      <c r="V55" s="48"/>
      <c r="W55" s="48"/>
      <c r="X55" s="48"/>
      <c r="Y55" s="48"/>
      <c r="Z55" s="48"/>
      <c r="AA55" s="48"/>
      <c r="AB55" s="48"/>
      <c r="AC55" s="48"/>
      <c r="AD55" s="48"/>
      <c r="AF55" s="48"/>
      <c r="AG55" s="48"/>
      <c r="AH55" s="48"/>
    </row>
    <row r="56" spans="1:34" s="58" customFormat="1" x14ac:dyDescent="0.2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F56" s="48"/>
      <c r="AG56" s="48"/>
      <c r="AH56" s="48"/>
    </row>
    <row r="57" spans="1:34" s="58" customFormat="1" x14ac:dyDescent="0.2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F57" s="48"/>
      <c r="AG57" s="48"/>
      <c r="AH57" s="48"/>
    </row>
    <row r="58" spans="1:34" s="58" customFormat="1" x14ac:dyDescent="0.2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F58" s="48"/>
      <c r="AG58" s="48"/>
      <c r="AH58" s="48"/>
    </row>
    <row r="59" spans="1:34" s="58" customFormat="1" x14ac:dyDescent="0.2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F59" s="48"/>
      <c r="AG59" s="48"/>
      <c r="AH59" s="48"/>
    </row>
    <row r="60" spans="1:34" s="58" customForma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F60" s="48"/>
      <c r="AG60" s="48"/>
      <c r="AH60" s="48"/>
    </row>
    <row r="61" spans="1:34" s="58" customFormat="1" x14ac:dyDescent="0.2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F61" s="48"/>
      <c r="AG61" s="48"/>
      <c r="AH61" s="48"/>
    </row>
    <row r="62" spans="1:34" s="58" customFormat="1" x14ac:dyDescent="0.2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F62" s="48"/>
      <c r="AG62" s="48"/>
      <c r="AH62" s="48"/>
    </row>
    <row r="63" spans="1:34" s="58" customFormat="1" x14ac:dyDescent="0.2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F63" s="48"/>
      <c r="AG63" s="48"/>
      <c r="AH63" s="48"/>
    </row>
    <row r="64" spans="1:34" s="58" customFormat="1" x14ac:dyDescent="0.2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F64" s="48"/>
      <c r="AG64" s="48"/>
      <c r="AH64" s="48"/>
    </row>
    <row r="65" spans="1:34" s="58" customFormat="1" x14ac:dyDescent="0.2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F65" s="48"/>
      <c r="AG65" s="48"/>
      <c r="AH65" s="48"/>
    </row>
    <row r="66" spans="1:34" s="58" customFormat="1" x14ac:dyDescent="0.2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F66" s="48"/>
      <c r="AG66" s="48"/>
      <c r="AH66" s="48"/>
    </row>
    <row r="67" spans="1:34" s="58" customFormat="1" x14ac:dyDescent="0.25">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F67" s="48"/>
      <c r="AG67" s="48"/>
      <c r="AH67" s="48"/>
    </row>
    <row r="68" spans="1:34" s="58" customFormat="1" x14ac:dyDescent="0.25">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F68" s="48"/>
      <c r="AG68" s="48"/>
      <c r="AH68" s="48"/>
    </row>
    <row r="69" spans="1:34" s="58" customFormat="1" x14ac:dyDescent="0.25">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F69" s="48"/>
      <c r="AG69" s="48"/>
      <c r="AH69" s="48"/>
    </row>
    <row r="70" spans="1:34" s="58" customFormat="1" x14ac:dyDescent="0.25">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F70" s="48"/>
      <c r="AG70" s="48"/>
      <c r="AH70" s="48"/>
    </row>
    <row r="71" spans="1:34" s="58" customFormat="1" x14ac:dyDescent="0.2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F71" s="48"/>
      <c r="AG71" s="48"/>
      <c r="AH71" s="48"/>
    </row>
    <row r="72" spans="1:34" s="58" customFormat="1" x14ac:dyDescent="0.2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F72" s="48"/>
      <c r="AG72" s="48"/>
      <c r="AH72" s="48"/>
    </row>
    <row r="73" spans="1:34" s="58" customFormat="1" x14ac:dyDescent="0.25">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F73" s="48"/>
      <c r="AG73" s="48"/>
      <c r="AH73" s="48"/>
    </row>
    <row r="74" spans="1:34" s="58" customFormat="1" x14ac:dyDescent="0.25">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F74" s="48"/>
      <c r="AG74" s="48"/>
      <c r="AH74" s="48"/>
    </row>
    <row r="75" spans="1:34" s="58" customFormat="1"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F75" s="48"/>
      <c r="AG75" s="48"/>
      <c r="AH75" s="48"/>
    </row>
    <row r="76" spans="1:34" s="58" customFormat="1" x14ac:dyDescent="0.25">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F76" s="48"/>
      <c r="AG76" s="48"/>
      <c r="AH76" s="48"/>
    </row>
    <row r="77" spans="1:34" s="58" customFormat="1"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F77" s="48"/>
      <c r="AG77" s="48"/>
      <c r="AH77" s="48"/>
    </row>
    <row r="78" spans="1:34" s="58" customFormat="1" x14ac:dyDescent="0.2">
      <c r="A78" s="48"/>
      <c r="B78" s="48"/>
      <c r="C78" s="48"/>
      <c r="D78" s="48"/>
      <c r="E78" s="48"/>
      <c r="F78" s="78"/>
      <c r="G78" s="78"/>
      <c r="H78" s="48"/>
      <c r="I78" s="79"/>
      <c r="J78" s="48"/>
      <c r="K78" s="48"/>
      <c r="L78" s="48"/>
      <c r="M78" s="48"/>
      <c r="N78" s="48"/>
      <c r="O78" s="48"/>
      <c r="P78" s="48"/>
      <c r="Q78" s="48"/>
      <c r="R78" s="48"/>
      <c r="S78" s="48"/>
      <c r="T78" s="48"/>
      <c r="U78" s="48"/>
      <c r="V78" s="48"/>
      <c r="W78" s="48"/>
      <c r="X78" s="48"/>
      <c r="Y78" s="48"/>
      <c r="Z78" s="48"/>
      <c r="AA78" s="48"/>
      <c r="AB78" s="48"/>
      <c r="AC78" s="48"/>
      <c r="AD78" s="48"/>
      <c r="AF78" s="48"/>
      <c r="AG78" s="48"/>
      <c r="AH78" s="48"/>
    </row>
    <row r="79" spans="1:34" s="58" customFormat="1" x14ac:dyDescent="0.2">
      <c r="A79" s="48"/>
      <c r="B79" s="48"/>
      <c r="C79" s="48"/>
      <c r="D79" s="48"/>
      <c r="E79" s="48"/>
      <c r="F79" s="78"/>
      <c r="G79" s="78"/>
      <c r="H79" s="48"/>
      <c r="I79" s="79"/>
      <c r="J79" s="48"/>
      <c r="K79" s="48"/>
      <c r="L79" s="48"/>
      <c r="M79" s="48"/>
      <c r="N79" s="48"/>
      <c r="O79" s="48"/>
      <c r="P79" s="48"/>
      <c r="Q79" s="48"/>
      <c r="R79" s="48"/>
      <c r="S79" s="48"/>
      <c r="T79" s="48"/>
      <c r="U79" s="48"/>
      <c r="V79" s="48"/>
      <c r="W79" s="48"/>
      <c r="X79" s="48"/>
      <c r="Y79" s="48"/>
      <c r="Z79" s="48"/>
      <c r="AA79" s="48"/>
      <c r="AB79" s="48"/>
      <c r="AC79" s="48"/>
      <c r="AD79" s="48"/>
      <c r="AF79" s="48"/>
      <c r="AG79" s="48"/>
      <c r="AH79" s="48"/>
    </row>
    <row r="80" spans="1:34" s="58" customFormat="1" x14ac:dyDescent="0.2">
      <c r="A80" s="48"/>
      <c r="B80" s="48"/>
      <c r="C80" s="48"/>
      <c r="D80" s="48"/>
      <c r="E80" s="48"/>
      <c r="F80" s="78"/>
      <c r="G80" s="78"/>
      <c r="H80" s="48"/>
      <c r="I80" s="79"/>
      <c r="J80" s="48"/>
      <c r="K80" s="48"/>
      <c r="L80" s="48"/>
      <c r="M80" s="48"/>
      <c r="N80" s="48"/>
      <c r="O80" s="48"/>
      <c r="P80" s="48"/>
      <c r="Q80" s="48"/>
      <c r="R80" s="48"/>
      <c r="S80" s="48"/>
      <c r="T80" s="48"/>
      <c r="U80" s="48"/>
      <c r="V80" s="48"/>
      <c r="W80" s="48"/>
      <c r="X80" s="48"/>
      <c r="Y80" s="48"/>
      <c r="Z80" s="48"/>
      <c r="AA80" s="48"/>
      <c r="AB80" s="48"/>
      <c r="AC80" s="48"/>
      <c r="AD80" s="48"/>
      <c r="AF80" s="48"/>
      <c r="AG80" s="48"/>
      <c r="AH80" s="48"/>
    </row>
    <row r="81" spans="1:59" s="58" customFormat="1" x14ac:dyDescent="0.2">
      <c r="A81" s="48"/>
      <c r="B81" s="48"/>
      <c r="C81" s="48"/>
      <c r="D81" s="48"/>
      <c r="E81" s="48"/>
      <c r="F81" s="78"/>
      <c r="G81" s="78"/>
      <c r="H81" s="48"/>
      <c r="I81" s="79"/>
      <c r="J81" s="80"/>
      <c r="K81" s="48"/>
      <c r="L81" s="48"/>
      <c r="M81" s="48"/>
      <c r="N81" s="48"/>
      <c r="O81" s="48"/>
      <c r="P81" s="48"/>
      <c r="Q81" s="48"/>
      <c r="R81" s="48"/>
      <c r="S81" s="48"/>
      <c r="T81" s="48"/>
      <c r="U81" s="48"/>
      <c r="V81" s="48"/>
      <c r="W81" s="48"/>
      <c r="X81" s="48"/>
      <c r="Y81" s="48"/>
      <c r="Z81" s="48"/>
      <c r="AA81" s="48"/>
      <c r="AB81" s="48"/>
      <c r="AC81" s="48"/>
      <c r="AD81" s="48"/>
      <c r="AF81" s="48"/>
      <c r="AG81" s="48"/>
      <c r="AH81" s="48"/>
    </row>
    <row r="82" spans="1:59" s="58" customFormat="1" x14ac:dyDescent="0.2">
      <c r="A82" s="48"/>
      <c r="B82" s="48"/>
      <c r="C82" s="48"/>
      <c r="D82" s="48"/>
      <c r="E82" s="48"/>
      <c r="F82" s="48"/>
      <c r="G82" s="48"/>
      <c r="H82" s="48"/>
      <c r="I82" s="48"/>
      <c r="J82" s="80"/>
      <c r="K82" s="48"/>
      <c r="L82" s="48"/>
      <c r="M82" s="81"/>
      <c r="N82" s="48"/>
      <c r="O82" s="48"/>
      <c r="P82" s="48"/>
      <c r="Q82" s="48"/>
      <c r="R82" s="48"/>
      <c r="S82" s="48"/>
      <c r="T82" s="48"/>
      <c r="U82" s="48"/>
      <c r="V82" s="48"/>
      <c r="W82" s="48"/>
      <c r="X82" s="48"/>
      <c r="Y82" s="48"/>
      <c r="Z82" s="48"/>
      <c r="AA82" s="48"/>
      <c r="AB82" s="48"/>
      <c r="AC82" s="48"/>
      <c r="AD82" s="48"/>
      <c r="AF82" s="48"/>
      <c r="AG82" s="48"/>
      <c r="AH82" s="48"/>
    </row>
    <row r="83" spans="1:59" s="58" customFormat="1" x14ac:dyDescent="0.2">
      <c r="A83" s="48"/>
      <c r="B83" s="48"/>
      <c r="C83" s="48"/>
      <c r="D83" s="48"/>
      <c r="E83" s="48"/>
      <c r="F83" s="48"/>
      <c r="G83" s="48"/>
      <c r="H83" s="48"/>
      <c r="I83" s="48"/>
      <c r="J83" s="80"/>
      <c r="K83" s="48"/>
      <c r="L83" s="48"/>
      <c r="M83" s="81"/>
      <c r="N83" s="48"/>
      <c r="O83" s="48"/>
      <c r="P83" s="48"/>
      <c r="Q83" s="48"/>
      <c r="R83" s="48"/>
      <c r="S83" s="48"/>
      <c r="T83" s="48"/>
      <c r="U83" s="48"/>
      <c r="V83" s="48"/>
      <c r="W83" s="48"/>
      <c r="X83" s="48"/>
      <c r="Y83" s="48"/>
      <c r="Z83" s="48"/>
      <c r="AA83" s="48"/>
      <c r="AB83" s="48"/>
      <c r="AC83" s="48"/>
      <c r="AD83" s="48"/>
      <c r="AF83" s="48"/>
      <c r="AG83" s="48"/>
      <c r="AH83" s="48"/>
    </row>
    <row r="84" spans="1:59" s="58" customFormat="1" x14ac:dyDescent="0.2">
      <c r="A84" s="48"/>
      <c r="B84" s="48"/>
      <c r="C84" s="48"/>
      <c r="D84" s="48"/>
      <c r="E84" s="48"/>
      <c r="F84" s="48"/>
      <c r="G84" s="48"/>
      <c r="H84" s="48"/>
      <c r="I84" s="48"/>
      <c r="J84" s="48"/>
      <c r="K84" s="48"/>
      <c r="L84" s="48"/>
      <c r="M84" s="81"/>
      <c r="N84" s="48"/>
      <c r="O84" s="48"/>
      <c r="P84" s="48"/>
      <c r="Q84" s="48"/>
      <c r="R84" s="48"/>
      <c r="S84" s="48"/>
      <c r="T84" s="48"/>
      <c r="U84" s="48"/>
      <c r="V84" s="48"/>
      <c r="W84" s="48"/>
      <c r="X84" s="48"/>
      <c r="Y84" s="48"/>
      <c r="Z84" s="48"/>
      <c r="AA84" s="48"/>
      <c r="AB84" s="48"/>
      <c r="AC84" s="48"/>
      <c r="AD84" s="48"/>
      <c r="AF84" s="48"/>
      <c r="AG84" s="48"/>
      <c r="AH84" s="48"/>
    </row>
    <row r="85" spans="1:59" s="58" customFormat="1"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F85" s="48"/>
      <c r="AG85" s="48"/>
      <c r="AH85" s="48"/>
    </row>
    <row r="86" spans="1:59" s="58" customFormat="1"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F86" s="48"/>
      <c r="AG86" s="48"/>
      <c r="AH86" s="48"/>
    </row>
    <row r="87" spans="1:59" s="58" customFormat="1" x14ac:dyDescent="0.2">
      <c r="A87" s="48">
        <v>2018</v>
      </c>
      <c r="B87" s="48"/>
      <c r="C87" s="48"/>
      <c r="D87" s="48"/>
      <c r="E87" s="48"/>
      <c r="F87" s="82" t="s">
        <v>44</v>
      </c>
      <c r="G87" s="82"/>
      <c r="H87" s="83" t="s">
        <v>45</v>
      </c>
      <c r="I87" s="83" t="s">
        <v>46</v>
      </c>
      <c r="J87" s="48"/>
      <c r="K87" s="48"/>
      <c r="L87" s="48"/>
      <c r="M87" s="80"/>
      <c r="N87" s="48"/>
      <c r="O87" s="48"/>
      <c r="P87" s="48"/>
      <c r="Q87" s="48"/>
      <c r="R87" s="48"/>
      <c r="S87" s="48"/>
      <c r="T87" s="48"/>
      <c r="U87" s="48"/>
      <c r="V87" s="48"/>
      <c r="W87" s="48"/>
      <c r="X87" s="48"/>
      <c r="Y87" s="48"/>
      <c r="Z87" s="48"/>
      <c r="AA87" s="48"/>
      <c r="AB87" s="48"/>
      <c r="AC87" s="48"/>
      <c r="AD87" s="48"/>
      <c r="AF87" s="48"/>
      <c r="AG87" s="48"/>
      <c r="AH87" s="48"/>
    </row>
    <row r="88" spans="1:59" s="58" customFormat="1" x14ac:dyDescent="0.2">
      <c r="A88" s="48">
        <v>2019</v>
      </c>
      <c r="B88" s="48"/>
      <c r="C88" s="48"/>
      <c r="D88" s="48"/>
      <c r="E88" s="48"/>
      <c r="F88" s="78" t="s">
        <v>177</v>
      </c>
      <c r="G88" s="78"/>
      <c r="H88" s="48" t="s">
        <v>180</v>
      </c>
      <c r="I88" s="79" t="s">
        <v>47</v>
      </c>
      <c r="J88" s="80" t="s">
        <v>206</v>
      </c>
      <c r="K88" s="80" t="s">
        <v>48</v>
      </c>
      <c r="L88" s="80" t="s">
        <v>49</v>
      </c>
      <c r="M88" s="84" t="s">
        <v>212</v>
      </c>
      <c r="N88" s="80"/>
      <c r="O88" s="80"/>
      <c r="P88" s="80"/>
      <c r="Q88" s="80"/>
      <c r="R88" s="80"/>
      <c r="S88" s="80"/>
      <c r="T88" s="80"/>
      <c r="U88" s="80"/>
      <c r="V88" s="80"/>
      <c r="W88" s="80"/>
      <c r="X88" s="80"/>
      <c r="Y88" s="80"/>
      <c r="Z88" s="80"/>
      <c r="AA88" s="80"/>
      <c r="AB88" s="80"/>
      <c r="AC88" s="80"/>
      <c r="AD88" s="48"/>
      <c r="AF88" s="48"/>
      <c r="AG88" s="48"/>
      <c r="AH88" s="48"/>
    </row>
    <row r="89" spans="1:59" s="58" customFormat="1" x14ac:dyDescent="0.2">
      <c r="A89" s="48">
        <v>2020</v>
      </c>
      <c r="B89" s="48"/>
      <c r="C89" s="48"/>
      <c r="D89" s="48"/>
      <c r="E89" s="48"/>
      <c r="F89" s="78" t="s">
        <v>178</v>
      </c>
      <c r="G89" s="78"/>
      <c r="H89" s="48" t="s">
        <v>181</v>
      </c>
      <c r="I89" s="79" t="s">
        <v>50</v>
      </c>
      <c r="J89" s="80" t="s">
        <v>207</v>
      </c>
      <c r="K89" s="80" t="s">
        <v>48</v>
      </c>
      <c r="L89" s="80" t="s">
        <v>49</v>
      </c>
      <c r="M89" s="85" t="s">
        <v>213</v>
      </c>
      <c r="N89" s="80"/>
      <c r="O89" s="80"/>
      <c r="P89" s="80"/>
      <c r="Q89" s="80"/>
      <c r="R89" s="80"/>
      <c r="S89" s="80"/>
      <c r="T89" s="80"/>
      <c r="U89" s="80"/>
      <c r="V89" s="80"/>
      <c r="W89" s="80"/>
      <c r="X89" s="80"/>
      <c r="Y89" s="80"/>
      <c r="Z89" s="80"/>
      <c r="AA89" s="80"/>
      <c r="AB89" s="80"/>
      <c r="AC89" s="80"/>
      <c r="AD89" s="80"/>
      <c r="AE89" s="86"/>
      <c r="AF89" s="80"/>
      <c r="AG89" s="80"/>
      <c r="AH89" s="80"/>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row>
    <row r="90" spans="1:59" s="58" customFormat="1" x14ac:dyDescent="0.2">
      <c r="A90" s="48">
        <v>2021</v>
      </c>
      <c r="B90" s="48"/>
      <c r="C90" s="48"/>
      <c r="D90" s="48"/>
      <c r="E90" s="48"/>
      <c r="F90" s="78" t="s">
        <v>179</v>
      </c>
      <c r="G90" s="78"/>
      <c r="H90" s="48" t="s">
        <v>182</v>
      </c>
      <c r="I90" s="79" t="s">
        <v>51</v>
      </c>
      <c r="J90" s="80" t="s">
        <v>207</v>
      </c>
      <c r="K90" s="80" t="s">
        <v>48</v>
      </c>
      <c r="L90" s="80" t="s">
        <v>49</v>
      </c>
      <c r="M90" s="85" t="s">
        <v>214</v>
      </c>
      <c r="N90" s="80"/>
      <c r="O90" s="80"/>
      <c r="P90" s="80"/>
      <c r="Q90" s="80"/>
      <c r="R90" s="80"/>
      <c r="S90" s="80"/>
      <c r="T90" s="80"/>
      <c r="U90" s="80"/>
      <c r="V90" s="80"/>
      <c r="W90" s="80"/>
      <c r="X90" s="80"/>
      <c r="Y90" s="80"/>
      <c r="Z90" s="80"/>
      <c r="AA90" s="80"/>
      <c r="AB90" s="80"/>
      <c r="AC90" s="80"/>
      <c r="AD90" s="80"/>
      <c r="AE90" s="86"/>
      <c r="AF90" s="80"/>
      <c r="AG90" s="80"/>
      <c r="AH90" s="80"/>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row>
    <row r="91" spans="1:59" s="58" customFormat="1" x14ac:dyDescent="0.2">
      <c r="A91" s="48">
        <v>2022</v>
      </c>
      <c r="B91" s="48"/>
      <c r="C91" s="48"/>
      <c r="D91" s="48"/>
      <c r="E91" s="48"/>
      <c r="F91" s="78" t="s">
        <v>183</v>
      </c>
      <c r="G91" s="78"/>
      <c r="H91" s="48" t="s">
        <v>192</v>
      </c>
      <c r="I91" s="79" t="s">
        <v>52</v>
      </c>
      <c r="J91" s="80" t="s">
        <v>208</v>
      </c>
      <c r="K91" s="80" t="s">
        <v>48</v>
      </c>
      <c r="L91" s="80" t="s">
        <v>54</v>
      </c>
      <c r="M91" s="84" t="s">
        <v>215</v>
      </c>
      <c r="N91" s="80"/>
      <c r="O91" s="80"/>
      <c r="P91" s="80"/>
      <c r="Q91" s="80"/>
      <c r="R91" s="80"/>
      <c r="S91" s="80"/>
      <c r="T91" s="80"/>
      <c r="U91" s="80"/>
      <c r="V91" s="80"/>
      <c r="W91" s="80"/>
      <c r="X91" s="80"/>
      <c r="Y91" s="80"/>
      <c r="Z91" s="80"/>
      <c r="AA91" s="80"/>
      <c r="AB91" s="80"/>
      <c r="AC91" s="80"/>
      <c r="AD91" s="80"/>
      <c r="AE91" s="86"/>
      <c r="AF91" s="80"/>
      <c r="AG91" s="80"/>
      <c r="AH91" s="80"/>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row>
    <row r="92" spans="1:59" s="58" customFormat="1" x14ac:dyDescent="0.2">
      <c r="A92" s="48">
        <v>2023</v>
      </c>
      <c r="B92" s="48"/>
      <c r="C92" s="48"/>
      <c r="D92" s="48"/>
      <c r="E92" s="48"/>
      <c r="F92" s="78" t="s">
        <v>184</v>
      </c>
      <c r="G92" s="78"/>
      <c r="H92" s="48" t="s">
        <v>193</v>
      </c>
      <c r="I92" s="79" t="s">
        <v>55</v>
      </c>
      <c r="J92" s="80" t="s">
        <v>209</v>
      </c>
      <c r="K92" s="80" t="s">
        <v>48</v>
      </c>
      <c r="L92" s="80" t="s">
        <v>54</v>
      </c>
      <c r="M92" s="84" t="s">
        <v>216</v>
      </c>
      <c r="N92" s="80"/>
      <c r="O92" s="80"/>
      <c r="P92" s="80"/>
      <c r="Q92" s="80"/>
      <c r="R92" s="80"/>
      <c r="S92" s="80"/>
      <c r="T92" s="80"/>
      <c r="U92" s="80"/>
      <c r="V92" s="80"/>
      <c r="W92" s="80"/>
      <c r="X92" s="80"/>
      <c r="Y92" s="80"/>
      <c r="Z92" s="80"/>
      <c r="AA92" s="80"/>
      <c r="AB92" s="80"/>
      <c r="AC92" s="80"/>
      <c r="AD92" s="80"/>
      <c r="AE92" s="86"/>
      <c r="AF92" s="80"/>
      <c r="AG92" s="80"/>
      <c r="AH92" s="80"/>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row>
    <row r="93" spans="1:59" x14ac:dyDescent="0.2">
      <c r="A93" s="48">
        <v>2024</v>
      </c>
      <c r="F93" s="78" t="s">
        <v>185</v>
      </c>
      <c r="G93" s="78"/>
      <c r="H93" s="48" t="s">
        <v>194</v>
      </c>
      <c r="I93" s="79" t="s">
        <v>56</v>
      </c>
      <c r="J93" s="80" t="s">
        <v>209</v>
      </c>
      <c r="K93" s="80" t="s">
        <v>48</v>
      </c>
      <c r="L93" s="80" t="s">
        <v>54</v>
      </c>
      <c r="M93" s="84" t="s">
        <v>226</v>
      </c>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row>
    <row r="94" spans="1:59" x14ac:dyDescent="0.2">
      <c r="A94" s="48">
        <v>2025</v>
      </c>
      <c r="F94" s="78" t="s">
        <v>186</v>
      </c>
      <c r="G94" s="78"/>
      <c r="H94" s="48" t="s">
        <v>195</v>
      </c>
      <c r="I94" s="79" t="s">
        <v>57</v>
      </c>
      <c r="J94" s="80" t="s">
        <v>209</v>
      </c>
      <c r="K94" s="80" t="s">
        <v>48</v>
      </c>
      <c r="L94" s="80" t="s">
        <v>54</v>
      </c>
      <c r="M94" s="84" t="s">
        <v>217</v>
      </c>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row>
    <row r="95" spans="1:59" x14ac:dyDescent="0.2">
      <c r="A95" s="48">
        <v>2026</v>
      </c>
      <c r="F95" s="78" t="s">
        <v>187</v>
      </c>
      <c r="G95" s="78"/>
      <c r="H95" s="48" t="s">
        <v>196</v>
      </c>
      <c r="I95" s="79" t="s">
        <v>58</v>
      </c>
      <c r="J95" s="80" t="s">
        <v>208</v>
      </c>
      <c r="K95" s="80" t="s">
        <v>48</v>
      </c>
      <c r="L95" s="80" t="s">
        <v>54</v>
      </c>
      <c r="M95" s="84" t="s">
        <v>218</v>
      </c>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row>
    <row r="96" spans="1:59" x14ac:dyDescent="0.2">
      <c r="A96" s="48">
        <v>2027</v>
      </c>
      <c r="F96" s="78" t="s">
        <v>188</v>
      </c>
      <c r="G96" s="78"/>
      <c r="H96" s="48" t="s">
        <v>197</v>
      </c>
      <c r="I96" s="79" t="s">
        <v>60</v>
      </c>
      <c r="J96" s="80" t="s">
        <v>207</v>
      </c>
      <c r="K96" s="80" t="s">
        <v>48</v>
      </c>
      <c r="L96" s="81" t="s">
        <v>204</v>
      </c>
      <c r="M96" s="84" t="s">
        <v>219</v>
      </c>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row>
    <row r="97" spans="1:59" x14ac:dyDescent="0.2">
      <c r="A97" s="48">
        <v>2028</v>
      </c>
      <c r="F97" s="78" t="s">
        <v>59</v>
      </c>
      <c r="G97" s="78"/>
      <c r="H97" s="48" t="s">
        <v>198</v>
      </c>
      <c r="I97" s="79" t="s">
        <v>61</v>
      </c>
      <c r="J97" s="80" t="s">
        <v>62</v>
      </c>
      <c r="K97" s="80" t="s">
        <v>48</v>
      </c>
      <c r="L97" s="81" t="s">
        <v>204</v>
      </c>
      <c r="M97" s="84" t="s">
        <v>220</v>
      </c>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row>
    <row r="98" spans="1:59" x14ac:dyDescent="0.2">
      <c r="F98" s="78" t="s">
        <v>189</v>
      </c>
      <c r="G98" s="78"/>
      <c r="H98" s="48" t="s">
        <v>199</v>
      </c>
      <c r="I98" s="79" t="s">
        <v>63</v>
      </c>
      <c r="J98" s="80" t="s">
        <v>207</v>
      </c>
      <c r="K98" s="80" t="s">
        <v>48</v>
      </c>
      <c r="L98" s="81" t="s">
        <v>204</v>
      </c>
      <c r="M98" s="84" t="s">
        <v>221</v>
      </c>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row>
    <row r="99" spans="1:59" x14ac:dyDescent="0.2">
      <c r="F99" s="78" t="s">
        <v>190</v>
      </c>
      <c r="G99" s="78"/>
      <c r="H99" s="48" t="s">
        <v>200</v>
      </c>
      <c r="I99" s="79" t="s">
        <v>64</v>
      </c>
      <c r="J99" s="80" t="s">
        <v>207</v>
      </c>
      <c r="K99" s="80" t="s">
        <v>48</v>
      </c>
      <c r="L99" s="81" t="s">
        <v>204</v>
      </c>
      <c r="M99" s="84" t="s">
        <v>222</v>
      </c>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row>
    <row r="100" spans="1:59" x14ac:dyDescent="0.2">
      <c r="F100" s="78" t="s">
        <v>191</v>
      </c>
      <c r="G100" s="78"/>
      <c r="H100" s="48" t="s">
        <v>201</v>
      </c>
      <c r="I100" s="79" t="s">
        <v>65</v>
      </c>
      <c r="J100" s="80" t="s">
        <v>207</v>
      </c>
      <c r="K100" s="80" t="s">
        <v>48</v>
      </c>
      <c r="L100" s="81" t="s">
        <v>204</v>
      </c>
      <c r="M100" s="84" t="s">
        <v>223</v>
      </c>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row>
    <row r="101" spans="1:59" x14ac:dyDescent="0.2">
      <c r="F101" s="78" t="s">
        <v>202</v>
      </c>
      <c r="G101" s="78"/>
      <c r="H101" s="48" t="s">
        <v>203</v>
      </c>
      <c r="I101" s="79" t="s">
        <v>66</v>
      </c>
      <c r="J101" s="80" t="s">
        <v>225</v>
      </c>
      <c r="K101" s="80" t="s">
        <v>48</v>
      </c>
      <c r="L101" s="80" t="s">
        <v>205</v>
      </c>
      <c r="M101" s="81" t="s">
        <v>224</v>
      </c>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row>
    <row r="102" spans="1:59" x14ac:dyDescent="0.2">
      <c r="F102" s="88"/>
      <c r="G102" s="88"/>
      <c r="M102" s="81"/>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row>
    <row r="103" spans="1:59" x14ac:dyDescent="0.2">
      <c r="F103" s="82" t="s">
        <v>102</v>
      </c>
      <c r="G103" s="82"/>
      <c r="M103" s="81"/>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row>
    <row r="104" spans="1:59" x14ac:dyDescent="0.2">
      <c r="F104" s="80" t="s">
        <v>43</v>
      </c>
      <c r="G104" s="80"/>
      <c r="J104" s="80"/>
      <c r="K104" s="80"/>
      <c r="L104" s="80"/>
      <c r="M104" s="81"/>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row>
    <row r="105" spans="1:59" x14ac:dyDescent="0.2">
      <c r="F105" s="80" t="s">
        <v>103</v>
      </c>
      <c r="G105" s="80"/>
      <c r="J105" s="80"/>
      <c r="K105" s="80"/>
      <c r="L105" s="80"/>
      <c r="M105" s="81"/>
      <c r="N105" s="80"/>
    </row>
    <row r="106" spans="1:59" x14ac:dyDescent="0.2">
      <c r="F106" s="80" t="s">
        <v>41</v>
      </c>
      <c r="G106" s="80"/>
      <c r="I106" s="82"/>
      <c r="M106" s="81"/>
    </row>
    <row r="107" spans="1:59" x14ac:dyDescent="0.2">
      <c r="F107" s="80"/>
      <c r="G107" s="80"/>
      <c r="I107" s="78"/>
      <c r="M107" s="81"/>
    </row>
    <row r="108" spans="1:59" x14ac:dyDescent="0.2">
      <c r="F108" s="82" t="s">
        <v>104</v>
      </c>
      <c r="G108" s="82"/>
      <c r="H108" s="89"/>
      <c r="I108" s="78"/>
      <c r="J108" s="89"/>
      <c r="M108" s="81"/>
    </row>
    <row r="109" spans="1:59" x14ac:dyDescent="0.2">
      <c r="F109" s="80" t="s">
        <v>39</v>
      </c>
      <c r="G109" s="80"/>
      <c r="H109" s="90"/>
      <c r="I109" s="78"/>
      <c r="J109" s="90"/>
      <c r="M109" s="81"/>
    </row>
    <row r="110" spans="1:59" x14ac:dyDescent="0.2">
      <c r="F110" s="80" t="s">
        <v>42</v>
      </c>
      <c r="G110" s="80"/>
      <c r="H110" s="89"/>
      <c r="I110" s="82"/>
      <c r="J110" s="89"/>
      <c r="M110" s="81"/>
    </row>
    <row r="111" spans="1:59" x14ac:dyDescent="0.2">
      <c r="F111" s="91"/>
      <c r="G111" s="91"/>
      <c r="H111" s="89"/>
      <c r="I111" s="78"/>
      <c r="J111" s="89"/>
      <c r="M111" s="81"/>
    </row>
    <row r="112" spans="1:59" x14ac:dyDescent="0.2">
      <c r="F112" s="82" t="s">
        <v>105</v>
      </c>
      <c r="G112" s="82"/>
      <c r="H112" s="89"/>
      <c r="I112" s="78"/>
      <c r="J112" s="89"/>
      <c r="M112" s="81"/>
    </row>
    <row r="113" spans="2:13" x14ac:dyDescent="0.2">
      <c r="H113" s="89"/>
      <c r="I113" s="89"/>
      <c r="J113" s="89"/>
      <c r="M113" s="81"/>
    </row>
    <row r="114" spans="2:13" x14ac:dyDescent="0.2">
      <c r="F114" s="80" t="s">
        <v>40</v>
      </c>
      <c r="G114" s="80"/>
      <c r="H114" s="89"/>
      <c r="I114" s="89"/>
      <c r="J114" s="89"/>
      <c r="M114" s="81"/>
    </row>
    <row r="115" spans="2:13" x14ac:dyDescent="0.2">
      <c r="F115" s="80" t="s">
        <v>106</v>
      </c>
      <c r="G115" s="80"/>
      <c r="H115" s="89"/>
      <c r="I115" s="89"/>
      <c r="J115" s="89"/>
      <c r="M115" s="81"/>
    </row>
    <row r="116" spans="2:13" x14ac:dyDescent="0.2">
      <c r="F116" s="80" t="s">
        <v>242</v>
      </c>
      <c r="G116" s="92"/>
      <c r="H116" s="89"/>
      <c r="I116" s="89"/>
      <c r="J116" s="89"/>
      <c r="M116" s="81"/>
    </row>
    <row r="117" spans="2:13" x14ac:dyDescent="0.2">
      <c r="F117" s="92"/>
      <c r="G117" s="92"/>
      <c r="H117" s="89"/>
      <c r="I117" s="89"/>
      <c r="J117" s="89"/>
      <c r="M117" s="81"/>
    </row>
    <row r="118" spans="2:13" ht="17.25" x14ac:dyDescent="0.2">
      <c r="B118" s="48">
        <v>1</v>
      </c>
      <c r="F118" s="303" t="s">
        <v>593</v>
      </c>
      <c r="G118" s="80"/>
      <c r="H118" s="89"/>
      <c r="I118" s="89"/>
      <c r="J118" s="89"/>
      <c r="M118" s="81"/>
    </row>
    <row r="119" spans="2:13" ht="17.25" x14ac:dyDescent="0.2">
      <c r="B119" s="48">
        <v>2</v>
      </c>
      <c r="F119" s="303" t="s">
        <v>594</v>
      </c>
      <c r="G119" s="80"/>
      <c r="H119" s="89"/>
      <c r="I119" s="89"/>
      <c r="J119" s="89"/>
      <c r="M119" s="81"/>
    </row>
    <row r="120" spans="2:13" ht="17.25" x14ac:dyDescent="0.2">
      <c r="B120" s="48">
        <v>3</v>
      </c>
      <c r="F120" s="303" t="s">
        <v>595</v>
      </c>
      <c r="G120" s="80"/>
      <c r="M120" s="81"/>
    </row>
    <row r="121" spans="2:13" ht="17.25" x14ac:dyDescent="0.2">
      <c r="B121" s="48">
        <v>4</v>
      </c>
      <c r="F121" s="303" t="s">
        <v>596</v>
      </c>
      <c r="G121" s="80"/>
      <c r="M121" s="81"/>
    </row>
    <row r="122" spans="2:13" ht="17.25" x14ac:dyDescent="0.2">
      <c r="B122" s="48">
        <v>5</v>
      </c>
      <c r="F122" s="303" t="s">
        <v>211</v>
      </c>
      <c r="G122" s="80"/>
      <c r="M122" s="81"/>
    </row>
    <row r="123" spans="2:13" ht="17.25" x14ac:dyDescent="0.2">
      <c r="B123" s="48">
        <v>6</v>
      </c>
      <c r="F123" s="303" t="s">
        <v>597</v>
      </c>
      <c r="G123" s="80"/>
      <c r="M123" s="81"/>
    </row>
    <row r="124" spans="2:13" ht="17.25" x14ac:dyDescent="0.2">
      <c r="B124" s="48">
        <v>7</v>
      </c>
      <c r="F124" s="303" t="s">
        <v>598</v>
      </c>
      <c r="G124" s="80"/>
      <c r="M124" s="81"/>
    </row>
    <row r="125" spans="2:13" x14ac:dyDescent="0.2">
      <c r="B125" s="87"/>
      <c r="C125" s="87"/>
      <c r="D125" s="87"/>
      <c r="E125" s="87"/>
      <c r="F125" s="85"/>
      <c r="G125" s="85"/>
      <c r="M125" s="81"/>
    </row>
    <row r="126" spans="2:13" x14ac:dyDescent="0.2">
      <c r="B126" s="87"/>
      <c r="C126" s="87"/>
      <c r="D126" s="87"/>
      <c r="E126" s="87"/>
      <c r="F126" s="85"/>
      <c r="G126" s="85"/>
      <c r="M126" s="81"/>
    </row>
    <row r="127" spans="2:13" x14ac:dyDescent="0.2">
      <c r="B127" s="87"/>
      <c r="C127" s="87"/>
      <c r="D127" s="87"/>
      <c r="E127" s="87"/>
      <c r="F127" s="85"/>
      <c r="G127" s="85"/>
      <c r="M127" s="81"/>
    </row>
    <row r="128" spans="2:13" x14ac:dyDescent="0.2">
      <c r="F128" s="80"/>
      <c r="G128" s="80"/>
      <c r="M128" s="81"/>
    </row>
    <row r="129" spans="6:13" x14ac:dyDescent="0.2">
      <c r="F129" s="80"/>
      <c r="G129" s="80"/>
      <c r="M129" s="81"/>
    </row>
    <row r="130" spans="6:13" x14ac:dyDescent="0.2">
      <c r="F130" s="80"/>
      <c r="G130" s="80"/>
      <c r="M130" s="81"/>
    </row>
    <row r="131" spans="6:13" x14ac:dyDescent="0.2">
      <c r="F131" s="80"/>
      <c r="G131" s="80"/>
      <c r="M131" s="81"/>
    </row>
    <row r="132" spans="6:13" x14ac:dyDescent="0.2">
      <c r="F132" s="80"/>
      <c r="G132" s="80"/>
      <c r="M132" s="81"/>
    </row>
    <row r="133" spans="6:13" x14ac:dyDescent="0.2">
      <c r="F133" s="80"/>
      <c r="G133" s="80"/>
      <c r="M133" s="81"/>
    </row>
    <row r="134" spans="6:13" x14ac:dyDescent="0.2">
      <c r="F134" s="80"/>
      <c r="G134" s="80"/>
      <c r="M134" s="81"/>
    </row>
    <row r="135" spans="6:13" x14ac:dyDescent="0.2">
      <c r="F135" s="80"/>
      <c r="G135" s="80"/>
      <c r="M135" s="81"/>
    </row>
    <row r="136" spans="6:13" x14ac:dyDescent="0.2">
      <c r="F136" s="80"/>
      <c r="G136" s="80"/>
      <c r="M136" s="81"/>
    </row>
    <row r="137" spans="6:13" x14ac:dyDescent="0.2">
      <c r="F137" s="80"/>
      <c r="G137" s="80"/>
      <c r="M137" s="81"/>
    </row>
    <row r="138" spans="6:13" x14ac:dyDescent="0.2">
      <c r="F138" s="80"/>
      <c r="G138" s="80"/>
      <c r="M138" s="81"/>
    </row>
    <row r="139" spans="6:13" x14ac:dyDescent="0.2">
      <c r="F139" s="80"/>
      <c r="G139" s="80"/>
      <c r="M139" s="81"/>
    </row>
    <row r="140" spans="6:13" x14ac:dyDescent="0.2">
      <c r="F140" s="80"/>
      <c r="G140" s="80"/>
      <c r="M140" s="81"/>
    </row>
    <row r="141" spans="6:13" x14ac:dyDescent="0.2">
      <c r="F141" s="80"/>
      <c r="G141" s="80"/>
      <c r="M141" s="81"/>
    </row>
    <row r="142" spans="6:13" x14ac:dyDescent="0.25">
      <c r="F142" s="80"/>
      <c r="G142" s="80"/>
    </row>
    <row r="143" spans="6:13" x14ac:dyDescent="0.25">
      <c r="F143" s="80"/>
      <c r="G143" s="80"/>
    </row>
    <row r="144" spans="6:13" x14ac:dyDescent="0.25">
      <c r="F144" s="80"/>
      <c r="G144" s="80"/>
    </row>
    <row r="145" spans="6:7" x14ac:dyDescent="0.25">
      <c r="F145" s="80"/>
      <c r="G145" s="80"/>
    </row>
    <row r="146" spans="6:7" x14ac:dyDescent="0.25">
      <c r="F146" s="80"/>
      <c r="G146" s="80"/>
    </row>
    <row r="147" spans="6:7" x14ac:dyDescent="0.25">
      <c r="F147" s="80"/>
      <c r="G147" s="80"/>
    </row>
    <row r="148" spans="6:7" x14ac:dyDescent="0.25">
      <c r="F148" s="80"/>
      <c r="G148" s="80"/>
    </row>
    <row r="149" spans="6:7" x14ac:dyDescent="0.25">
      <c r="F149" s="80"/>
      <c r="G149" s="80"/>
    </row>
    <row r="150" spans="6:7" x14ac:dyDescent="0.25">
      <c r="F150" s="80"/>
      <c r="G150" s="80"/>
    </row>
    <row r="151" spans="6:7" x14ac:dyDescent="0.25">
      <c r="F151" s="80"/>
      <c r="G151" s="80"/>
    </row>
    <row r="152" spans="6:7" x14ac:dyDescent="0.25">
      <c r="F152" s="80"/>
      <c r="G152" s="80"/>
    </row>
    <row r="153" spans="6:7" x14ac:dyDescent="0.25">
      <c r="F153" s="80"/>
      <c r="G153" s="80"/>
    </row>
    <row r="154" spans="6:7" x14ac:dyDescent="0.25">
      <c r="F154" s="80"/>
      <c r="G154" s="80"/>
    </row>
    <row r="155" spans="6:7" x14ac:dyDescent="0.25">
      <c r="F155" s="80"/>
      <c r="G155" s="80"/>
    </row>
    <row r="156" spans="6:7" x14ac:dyDescent="0.25">
      <c r="F156" s="80"/>
      <c r="G156" s="80"/>
    </row>
    <row r="157" spans="6:7" x14ac:dyDescent="0.25">
      <c r="F157" s="80"/>
      <c r="G157" s="80"/>
    </row>
    <row r="158" spans="6:7" x14ac:dyDescent="0.25">
      <c r="F158" s="80"/>
      <c r="G158" s="80"/>
    </row>
    <row r="159" spans="6:7" x14ac:dyDescent="0.25">
      <c r="F159" s="80"/>
      <c r="G159" s="80"/>
    </row>
    <row r="160" spans="6:7" x14ac:dyDescent="0.25">
      <c r="F160" s="80"/>
      <c r="G160" s="80"/>
    </row>
    <row r="161" spans="6:7" x14ac:dyDescent="0.25">
      <c r="F161" s="80"/>
      <c r="G161" s="80"/>
    </row>
    <row r="162" spans="6:7" x14ac:dyDescent="0.25">
      <c r="F162" s="80"/>
      <c r="G162" s="80"/>
    </row>
    <row r="163" spans="6:7" x14ac:dyDescent="0.25">
      <c r="F163" s="80"/>
      <c r="G163" s="80"/>
    </row>
    <row r="164" spans="6:7" x14ac:dyDescent="0.25">
      <c r="F164" s="80"/>
      <c r="G164" s="80"/>
    </row>
    <row r="165" spans="6:7" x14ac:dyDescent="0.25">
      <c r="F165" s="80"/>
      <c r="G165" s="80"/>
    </row>
    <row r="166" spans="6:7" x14ac:dyDescent="0.25">
      <c r="F166" s="80"/>
      <c r="G166" s="80"/>
    </row>
    <row r="167" spans="6:7" x14ac:dyDescent="0.25">
      <c r="F167" s="80"/>
      <c r="G167" s="80"/>
    </row>
    <row r="168" spans="6:7" x14ac:dyDescent="0.25">
      <c r="F168" s="80"/>
      <c r="G168" s="80"/>
    </row>
    <row r="169" spans="6:7" x14ac:dyDescent="0.25">
      <c r="F169" s="80"/>
      <c r="G169" s="80"/>
    </row>
    <row r="170" spans="6:7" x14ac:dyDescent="0.25">
      <c r="F170" s="80"/>
      <c r="G170" s="80"/>
    </row>
    <row r="171" spans="6:7" x14ac:dyDescent="0.25">
      <c r="F171" s="80"/>
      <c r="G171" s="80"/>
    </row>
  </sheetData>
  <sheetProtection algorithmName="SHA-512" hashValue="UWRUw/fUn+RtqIdzKL04tZn0EmmCm0DWlqeTW6kBHb6XNtTngE0SQ/wKxMOEZ2Iamoamqn01LglO0zTfVYR7ew==" saltValue="TAEooQuedDZ+damL39z9zg==" spinCount="100000" sheet="1" objects="1" scenarios="1"/>
  <mergeCells count="59">
    <mergeCell ref="AR8:AR10"/>
    <mergeCell ref="AS8:AS10"/>
    <mergeCell ref="AR11:AR17"/>
    <mergeCell ref="AS11:AS17"/>
    <mergeCell ref="AE8:AE10"/>
    <mergeCell ref="AF8:AH8"/>
    <mergeCell ref="AI8:AK8"/>
    <mergeCell ref="AL8:AN8"/>
    <mergeCell ref="AO8:AQ8"/>
    <mergeCell ref="AO9:AP9"/>
    <mergeCell ref="AQ9:AQ10"/>
    <mergeCell ref="AF9:AG9"/>
    <mergeCell ref="AH9:AH10"/>
    <mergeCell ref="AI9:AJ9"/>
    <mergeCell ref="AK9:AK10"/>
    <mergeCell ref="AL9:AM9"/>
    <mergeCell ref="AN9:AN10"/>
    <mergeCell ref="AA8:AD8"/>
    <mergeCell ref="AA9:AA10"/>
    <mergeCell ref="AB9:AC9"/>
    <mergeCell ref="AD9:AD10"/>
    <mergeCell ref="G8:G10"/>
    <mergeCell ref="A6:F6"/>
    <mergeCell ref="H6:Z6"/>
    <mergeCell ref="A7:F7"/>
    <mergeCell ref="H7:U7"/>
    <mergeCell ref="V7:Y7"/>
    <mergeCell ref="Z8:Z10"/>
    <mergeCell ref="H8:H10"/>
    <mergeCell ref="I8:I10"/>
    <mergeCell ref="J8:J10"/>
    <mergeCell ref="N9:P9"/>
    <mergeCell ref="Q9:S9"/>
    <mergeCell ref="T9:V9"/>
    <mergeCell ref="W9:Y9"/>
    <mergeCell ref="K8:Y8"/>
    <mergeCell ref="K9:M9"/>
    <mergeCell ref="H4:Z4"/>
    <mergeCell ref="A5:F5"/>
    <mergeCell ref="H5:U5"/>
    <mergeCell ref="V5:W5"/>
    <mergeCell ref="X5:Z5"/>
    <mergeCell ref="H1:Z1"/>
    <mergeCell ref="H2:Z2"/>
    <mergeCell ref="H3:Q3"/>
    <mergeCell ref="R3:S3"/>
    <mergeCell ref="T3:Z3"/>
    <mergeCell ref="B11:B17"/>
    <mergeCell ref="D8:D10"/>
    <mergeCell ref="D11:D17"/>
    <mergeCell ref="E8:E10"/>
    <mergeCell ref="A1:F3"/>
    <mergeCell ref="A4:F4"/>
    <mergeCell ref="A8:A10"/>
    <mergeCell ref="B8:B10"/>
    <mergeCell ref="C8:C10"/>
    <mergeCell ref="F8:F10"/>
    <mergeCell ref="C11:C17"/>
    <mergeCell ref="A11:A17"/>
  </mergeCells>
  <conditionalFormatting sqref="V11:V17 Y11:Y17 S11:S17 M11:M17 P11:P17">
    <cfRule type="cellIs" dxfId="22" priority="2" stopIfTrue="1" operator="equal">
      <formula>0</formula>
    </cfRule>
    <cfRule type="cellIs" dxfId="21" priority="3" stopIfTrue="1" operator="greaterThan">
      <formula>1</formula>
    </cfRule>
    <cfRule type="cellIs" dxfId="20" priority="4" stopIfTrue="1" operator="between">
      <formula>0.9</formula>
      <formula>1</formula>
    </cfRule>
    <cfRule type="cellIs" dxfId="19" priority="5" stopIfTrue="1" operator="between">
      <formula>0.7</formula>
      <formula>0.8999</formula>
    </cfRule>
    <cfRule type="cellIs" dxfId="18" priority="6" stopIfTrue="1" operator="between">
      <formula>0.00001</formula>
      <formula>0.6999</formula>
    </cfRule>
  </conditionalFormatting>
  <dataValidations count="9">
    <dataValidation type="list" allowBlank="1" showInputMessage="1" showErrorMessage="1" prompt="Seleccione la Vigencia del Plan de Gestión" sqref="R3:S3">
      <formula1>$A$86:$A$97</formula1>
    </dataValidation>
    <dataValidation allowBlank="1" showInputMessage="1" showErrorMessage="1" sqref="X5:Z5"/>
    <dataValidation showInputMessage="1" showErrorMessage="1" sqref="V5"/>
    <dataValidation type="list" allowBlank="1" showInputMessage="1" showErrorMessage="1" error="Debe seleccionar uno de los campos del menu desplegable" prompt="Elija una opción del menu desplegable" sqref="J11:J17">
      <formula1>$F$114:$F$115</formula1>
    </dataValidation>
    <dataValidation errorStyle="information" showInputMessage="1" showErrorMessage="1" error="Elija una Categoría" prompt="Elija una Categoría del menú desplegable" sqref="AE11:AE17"/>
    <dataValidation type="list" errorStyle="information" showInputMessage="1" showErrorMessage="1" error="Elija una Categoría" prompt="Elija una opción del menú desplegable" sqref="AD11:AD17">
      <formula1>$F$104:$F$106</formula1>
    </dataValidation>
    <dataValidation type="list" allowBlank="1" showInputMessage="1" showErrorMessage="1" prompt="Elija una opción del menu desplegable" sqref="I11:I17">
      <formula1>#REF!</formula1>
    </dataValidation>
    <dataValidation type="list" allowBlank="1" showInputMessage="1" showErrorMessage="1" prompt="Elija una opción del menú desplegable" sqref="H5">
      <formula1>$F$86:$F$101</formula1>
    </dataValidation>
    <dataValidation type="list" allowBlank="1" showInputMessage="1" showErrorMessage="1" prompt="Seleccione el Objetivo Estratégico" sqref="A11:A17">
      <formula1>$F$118:$F$124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3" bestFit="1" customWidth="1"/>
    <col min="2" max="2" width="41.875" style="3" customWidth="1"/>
    <col min="3" max="3" width="8.5" style="3" hidden="1" customWidth="1"/>
    <col min="4" max="4" width="11.125" style="3" hidden="1" customWidth="1"/>
    <col min="5" max="5" width="8.5" style="3" hidden="1" customWidth="1"/>
    <col min="6" max="6" width="21.5" style="3" customWidth="1"/>
    <col min="7" max="7" width="20.125" style="3" bestFit="1" customWidth="1"/>
    <col min="8" max="8" width="12.625" style="3" bestFit="1" customWidth="1"/>
    <col min="9" max="9" width="13.5" style="3" bestFit="1" customWidth="1"/>
    <col min="10" max="10" width="92.625" style="3" customWidth="1"/>
    <col min="11" max="16384" width="10.875" style="3"/>
  </cols>
  <sheetData>
    <row r="1" spans="1:10" ht="13.5" thickBot="1" x14ac:dyDescent="0.25">
      <c r="A1" s="1435" t="s">
        <v>108</v>
      </c>
      <c r="B1" s="1435"/>
      <c r="C1" s="1435"/>
      <c r="D1" s="1435"/>
      <c r="E1" s="1435"/>
      <c r="F1" s="1435"/>
      <c r="G1" s="1435"/>
      <c r="H1" s="1435"/>
      <c r="I1" s="1435"/>
      <c r="J1" s="1435"/>
    </row>
    <row r="2" spans="1:10" x14ac:dyDescent="0.2">
      <c r="A2" s="1435"/>
      <c r="B2" s="1435"/>
      <c r="C2" s="1435"/>
      <c r="D2" s="1435"/>
      <c r="E2" s="1435"/>
      <c r="F2" s="1435"/>
      <c r="G2" s="1435"/>
      <c r="H2" s="1435"/>
      <c r="I2" s="1435"/>
      <c r="J2" s="1435"/>
    </row>
    <row r="3" spans="1:10" ht="15" x14ac:dyDescent="0.2">
      <c r="A3" s="1436" t="s">
        <v>109</v>
      </c>
      <c r="B3" s="1436"/>
      <c r="C3" s="1436"/>
      <c r="D3" s="1436"/>
      <c r="E3" s="1436"/>
      <c r="F3" s="1436"/>
      <c r="G3" s="1436"/>
      <c r="H3" s="1436"/>
      <c r="I3" s="1436"/>
      <c r="J3" s="1436"/>
    </row>
    <row r="4" spans="1:10" x14ac:dyDescent="0.2">
      <c r="A4" s="4"/>
      <c r="B4" s="5"/>
      <c r="C4" s="5"/>
      <c r="D4" s="5"/>
      <c r="E4" s="5"/>
      <c r="F4" s="5"/>
      <c r="G4" s="5"/>
      <c r="H4" s="5"/>
      <c r="I4" s="5"/>
      <c r="J4" s="5"/>
    </row>
    <row r="5" spans="1:10" x14ac:dyDescent="0.2">
      <c r="A5" s="6" t="s">
        <v>110</v>
      </c>
      <c r="B5" s="1430" t="s">
        <v>111</v>
      </c>
      <c r="C5" s="1430"/>
      <c r="D5" s="1430"/>
      <c r="E5" s="1430"/>
      <c r="F5" s="1430"/>
      <c r="G5" s="1430"/>
      <c r="H5" s="1430"/>
      <c r="I5" s="1430"/>
      <c r="J5" s="1430"/>
    </row>
    <row r="6" spans="1:10" x14ac:dyDescent="0.2">
      <c r="A6" s="6" t="s">
        <v>112</v>
      </c>
      <c r="B6" s="1430" t="s">
        <v>113</v>
      </c>
      <c r="C6" s="1430"/>
      <c r="D6" s="1430"/>
      <c r="E6" s="1430"/>
      <c r="F6" s="1430"/>
      <c r="G6" s="1430"/>
      <c r="H6" s="1430"/>
      <c r="I6" s="1430"/>
      <c r="J6" s="1430"/>
    </row>
    <row r="7" spans="1:10" x14ac:dyDescent="0.2">
      <c r="A7" s="6" t="s">
        <v>114</v>
      </c>
      <c r="B7" s="1430" t="s">
        <v>115</v>
      </c>
      <c r="C7" s="1430"/>
      <c r="D7" s="1430"/>
      <c r="E7" s="1430"/>
      <c r="F7" s="1430"/>
      <c r="G7" s="1430"/>
      <c r="H7" s="1430"/>
      <c r="I7" s="1430"/>
      <c r="J7" s="1430"/>
    </row>
    <row r="8" spans="1:10" x14ac:dyDescent="0.2">
      <c r="A8" s="6" t="s">
        <v>116</v>
      </c>
      <c r="B8" s="1430" t="s">
        <v>117</v>
      </c>
      <c r="C8" s="1430"/>
      <c r="D8" s="1430"/>
      <c r="E8" s="1430"/>
      <c r="F8" s="1430"/>
      <c r="G8" s="1430"/>
      <c r="H8" s="1430"/>
      <c r="I8" s="1430"/>
      <c r="J8" s="1430"/>
    </row>
    <row r="9" spans="1:10" x14ac:dyDescent="0.2">
      <c r="A9" s="6" t="s">
        <v>118</v>
      </c>
      <c r="B9" s="1430" t="s">
        <v>119</v>
      </c>
      <c r="C9" s="1430"/>
      <c r="D9" s="1430"/>
      <c r="E9" s="1430"/>
      <c r="F9" s="1430"/>
      <c r="G9" s="1430"/>
      <c r="H9" s="1430"/>
      <c r="I9" s="1430"/>
      <c r="J9" s="1430"/>
    </row>
    <row r="10" spans="1:10" ht="15" x14ac:dyDescent="0.2">
      <c r="A10" s="1431" t="s">
        <v>120</v>
      </c>
      <c r="B10" s="1432"/>
      <c r="C10" s="1432"/>
      <c r="D10" s="1432"/>
      <c r="E10" s="1432"/>
      <c r="F10" s="1432"/>
      <c r="G10" s="1432"/>
      <c r="H10" s="1432"/>
      <c r="I10" s="1432"/>
      <c r="J10" s="1432"/>
    </row>
    <row r="12" spans="1:10" x14ac:dyDescent="0.2">
      <c r="A12" s="1433" t="s">
        <v>121</v>
      </c>
      <c r="B12" s="1433"/>
      <c r="C12" s="1433"/>
      <c r="D12" s="1433"/>
      <c r="E12" s="1433"/>
      <c r="F12" s="1433"/>
      <c r="G12" s="1433"/>
      <c r="H12" s="1433"/>
      <c r="I12" s="1433"/>
      <c r="J12" s="1433"/>
    </row>
    <row r="13" spans="1:10" x14ac:dyDescent="0.2">
      <c r="A13" s="1433"/>
      <c r="B13" s="1433"/>
      <c r="C13" s="1433"/>
      <c r="D13" s="1433"/>
      <c r="E13" s="1433"/>
      <c r="F13" s="1433"/>
      <c r="G13" s="1433"/>
      <c r="H13" s="1433"/>
      <c r="I13" s="1433"/>
      <c r="J13" s="1433"/>
    </row>
    <row r="14" spans="1:10" ht="42.75" customHeight="1" x14ac:dyDescent="0.2">
      <c r="A14" s="1434" t="s">
        <v>122</v>
      </c>
      <c r="B14" s="1434"/>
      <c r="C14" s="7" t="s">
        <v>123</v>
      </c>
      <c r="D14" s="7" t="s">
        <v>124</v>
      </c>
      <c r="E14" s="7" t="s">
        <v>125</v>
      </c>
      <c r="F14" s="7" t="s">
        <v>126</v>
      </c>
      <c r="G14" s="7" t="s">
        <v>127</v>
      </c>
      <c r="H14" s="7" t="s">
        <v>128</v>
      </c>
      <c r="I14" s="7" t="s">
        <v>129</v>
      </c>
      <c r="J14" s="7" t="s">
        <v>130</v>
      </c>
    </row>
    <row r="15" spans="1:10" ht="89.25" customHeight="1" x14ac:dyDescent="0.2">
      <c r="A15" s="8">
        <v>1</v>
      </c>
      <c r="B15" s="9" t="str">
        <f>+'[1]PROCESOS CONTRATACION'!D11</f>
        <v>Adelantar un (1)  programa para cubrir los Gastos Operativos de Inversión correspondientes a la Coordinación, control y supervisión del NUSE 123</v>
      </c>
      <c r="C15" s="10">
        <v>1</v>
      </c>
      <c r="D15" s="10">
        <v>1</v>
      </c>
      <c r="E15" s="11">
        <f>F15/G18</f>
        <v>0.31861889637623803</v>
      </c>
      <c r="F15" s="12">
        <f>+'[1]PROCESOS CONTRATACION'!F11</f>
        <v>271150006</v>
      </c>
      <c r="G15" s="12">
        <f>+'[1]PROCESOS CONTRATACION'!F12-'[1]PROCESOS CONTRATACION'!F87</f>
        <v>37027011</v>
      </c>
      <c r="H15" s="13">
        <f>+G15/F15</f>
        <v>0.13655544967976138</v>
      </c>
      <c r="I15" s="14">
        <v>0.7</v>
      </c>
      <c r="J15" s="9" t="s">
        <v>131</v>
      </c>
    </row>
    <row r="16" spans="1:10" ht="288" customHeight="1" x14ac:dyDescent="0.2">
      <c r="A16" s="8">
        <v>2</v>
      </c>
      <c r="B16" s="9"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0">
        <v>1</v>
      </c>
      <c r="D16" s="10">
        <v>1</v>
      </c>
      <c r="E16" s="11">
        <f>F16/G18</f>
        <v>0.96220201221743329</v>
      </c>
      <c r="F16" s="12">
        <f>+'[1]PROCESOS CONTRATACION'!F44</f>
        <v>818849994</v>
      </c>
      <c r="G16" s="12">
        <f>+'[1]PROCESOS CONTRATACION'!F45</f>
        <v>813989702.33333337</v>
      </c>
      <c r="H16" s="15">
        <f>+G16/F16</f>
        <v>0.9940644908074987</v>
      </c>
      <c r="I16" s="14">
        <v>0.75</v>
      </c>
      <c r="J16" s="9" t="s">
        <v>132</v>
      </c>
    </row>
    <row r="17" spans="1:10" ht="64.5" customHeight="1" x14ac:dyDescent="0.2">
      <c r="A17" s="8">
        <v>3</v>
      </c>
      <c r="B17" s="9" t="str">
        <f>+'[1]PROCESOS CONTRATACION'!D75</f>
        <v>Adelantar un (1)  programa de dotación de la Infraestructura Tecnológica de la Sala de Crisis de Bogota.</v>
      </c>
      <c r="C17" s="10">
        <v>1</v>
      </c>
      <c r="D17" s="10">
        <v>1</v>
      </c>
      <c r="E17" s="16">
        <f>F17/G18</f>
        <v>0</v>
      </c>
      <c r="F17" s="12">
        <f>+'[1]PROCESOS CONTRATACION'!F75</f>
        <v>0</v>
      </c>
      <c r="G17" s="12">
        <v>0</v>
      </c>
      <c r="H17" s="15"/>
      <c r="I17" s="14">
        <v>0.73</v>
      </c>
      <c r="J17" s="9" t="s">
        <v>133</v>
      </c>
    </row>
    <row r="18" spans="1:10" ht="22.5" customHeight="1" x14ac:dyDescent="0.2">
      <c r="A18" s="17"/>
      <c r="B18" s="18"/>
      <c r="C18" s="19"/>
      <c r="D18" s="19"/>
      <c r="E18" s="20">
        <f>SUM(E15:E17)</f>
        <v>1.2808209085936713</v>
      </c>
      <c r="F18" s="21">
        <f>SUM(F15:F17)</f>
        <v>1090000000</v>
      </c>
      <c r="G18" s="22">
        <f>SUM(G15:G17)</f>
        <v>851016713.33333337</v>
      </c>
      <c r="H18" s="23">
        <f>+G18/F18</f>
        <v>0.78074927828746177</v>
      </c>
      <c r="I18" s="19"/>
      <c r="J18" s="24"/>
    </row>
    <row r="19" spans="1:10" x14ac:dyDescent="0.2">
      <c r="G19" s="25"/>
    </row>
    <row r="20" spans="1:10" x14ac:dyDescent="0.2">
      <c r="G20" s="25"/>
    </row>
    <row r="21" spans="1:10" x14ac:dyDescent="0.2">
      <c r="F21" s="25"/>
      <c r="G21" s="25"/>
      <c r="H21" s="26"/>
    </row>
    <row r="29" spans="1:10" x14ac:dyDescent="0.2">
      <c r="F29" s="25"/>
      <c r="G29" s="26"/>
      <c r="H29" s="26"/>
    </row>
    <row r="30" spans="1:10" x14ac:dyDescent="0.2">
      <c r="F30" s="25"/>
    </row>
  </sheetData>
  <mergeCells count="10">
    <mergeCell ref="B9:J9"/>
    <mergeCell ref="A10:J10"/>
    <mergeCell ref="A12:J13"/>
    <mergeCell ref="A14:B14"/>
    <mergeCell ref="A1:J2"/>
    <mergeCell ref="A3:J3"/>
    <mergeCell ref="B5:J5"/>
    <mergeCell ref="B6:J6"/>
    <mergeCell ref="B7:J7"/>
    <mergeCell ref="B8:J8"/>
  </mergeCells>
  <phoneticPr fontId="10"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H261"/>
  <sheetViews>
    <sheetView topLeftCell="B1" zoomScale="70" zoomScaleNormal="70" workbookViewId="0">
      <selection activeCell="AG1" sqref="A1:XFD10"/>
    </sheetView>
  </sheetViews>
  <sheetFormatPr baseColWidth="10" defaultColWidth="11.5" defaultRowHeight="17.25" x14ac:dyDescent="0.25"/>
  <cols>
    <col min="1" max="1" width="11.5" style="230" customWidth="1"/>
    <col min="2" max="2" width="27.25" style="230" customWidth="1"/>
    <col min="3" max="3" width="5.125" style="230" customWidth="1"/>
    <col min="4" max="4" width="24" style="230" customWidth="1"/>
    <col min="5" max="6" width="9.625" style="230" customWidth="1"/>
    <col min="7" max="7" width="29.5" style="230" customWidth="1"/>
    <col min="8" max="8" width="13.875" style="230" customWidth="1"/>
    <col min="9" max="9" width="8.375" style="230" customWidth="1"/>
    <col min="10" max="10" width="14.375" style="230" customWidth="1"/>
    <col min="11" max="11" width="21" style="230" customWidth="1"/>
    <col min="12" max="12" width="10.375" style="230" customWidth="1"/>
    <col min="13" max="13" width="11.375" style="230" customWidth="1"/>
    <col min="14" max="14" width="8.125" style="230" customWidth="1"/>
    <col min="15" max="15" width="9.375" style="230" customWidth="1"/>
    <col min="16" max="16" width="11.875" style="230" customWidth="1"/>
    <col min="17" max="17" width="9.875" style="230" customWidth="1"/>
    <col min="18" max="18" width="6.125" style="230" customWidth="1"/>
    <col min="19" max="19" width="5.5" style="230" customWidth="1"/>
    <col min="20" max="20" width="8.5" style="230" customWidth="1"/>
    <col min="21" max="21" width="6.5" style="230" customWidth="1"/>
    <col min="22" max="22" width="5.625" style="230" customWidth="1"/>
    <col min="23" max="24" width="7.5" style="230" customWidth="1"/>
    <col min="25" max="25" width="8.125" style="230" customWidth="1"/>
    <col min="26" max="26" width="8.875" style="230" customWidth="1"/>
    <col min="27" max="27" width="8" style="230" customWidth="1"/>
    <col min="28" max="28" width="17.875" style="230" customWidth="1"/>
    <col min="29" max="30" width="15.5" style="230" customWidth="1"/>
    <col min="31" max="31" width="11.5" style="230"/>
    <col min="32" max="32" width="14.875" style="230" customWidth="1"/>
    <col min="33" max="34" width="0" style="230" hidden="1" customWidth="1"/>
    <col min="35" max="35" width="24.375" style="230" hidden="1" customWidth="1"/>
    <col min="36" max="37" width="0" style="230" hidden="1" customWidth="1"/>
    <col min="38" max="38" width="24.375" style="230" hidden="1" customWidth="1"/>
    <col min="39" max="40" width="0" style="230" hidden="1" customWidth="1"/>
    <col min="41" max="41" width="24.375" style="230" hidden="1" customWidth="1"/>
    <col min="42" max="43" width="0" style="230" hidden="1" customWidth="1"/>
    <col min="44" max="44" width="24.375" style="230" hidden="1" customWidth="1"/>
    <col min="45" max="16384" width="11.5" style="230"/>
  </cols>
  <sheetData>
    <row r="1" spans="1:48" ht="27.75" customHeight="1" thickBot="1" x14ac:dyDescent="0.3">
      <c r="B1" s="1515"/>
      <c r="C1" s="1516"/>
      <c r="D1" s="1516"/>
      <c r="E1" s="1516"/>
      <c r="F1" s="1516"/>
      <c r="G1" s="1516"/>
      <c r="H1" s="1441" t="s">
        <v>176</v>
      </c>
      <c r="I1" s="1442"/>
      <c r="J1" s="1442"/>
      <c r="K1" s="1442"/>
      <c r="L1" s="1442"/>
      <c r="M1" s="1442"/>
      <c r="N1" s="1442"/>
      <c r="O1" s="1442"/>
      <c r="P1" s="1442"/>
      <c r="Q1" s="1442"/>
      <c r="R1" s="1442"/>
      <c r="S1" s="1442"/>
      <c r="T1" s="1442"/>
      <c r="U1" s="1442"/>
      <c r="V1" s="1442"/>
      <c r="W1" s="1442"/>
      <c r="X1" s="1442"/>
      <c r="Y1" s="1442"/>
      <c r="Z1" s="1442"/>
      <c r="AA1" s="1442"/>
      <c r="AB1" s="1442"/>
      <c r="AC1" s="1442"/>
      <c r="AD1" s="1442"/>
      <c r="AE1" s="1442"/>
      <c r="AF1" s="1443"/>
      <c r="AG1" s="228"/>
      <c r="AH1" s="228"/>
      <c r="AI1" s="228"/>
      <c r="AJ1" s="228"/>
      <c r="AK1" s="228"/>
      <c r="AL1" s="228"/>
      <c r="AM1" s="228"/>
      <c r="AN1" s="228"/>
      <c r="AO1" s="228"/>
      <c r="AP1" s="228"/>
      <c r="AQ1" s="228"/>
      <c r="AR1" s="229"/>
    </row>
    <row r="2" spans="1:48" ht="27.75" customHeight="1" thickBot="1" x14ac:dyDescent="0.3">
      <c r="B2" s="1517"/>
      <c r="C2" s="1518"/>
      <c r="D2" s="1518"/>
      <c r="E2" s="1518"/>
      <c r="F2" s="1518"/>
      <c r="G2" s="1518"/>
      <c r="H2" s="1441" t="s">
        <v>0</v>
      </c>
      <c r="I2" s="1442"/>
      <c r="J2" s="1442"/>
      <c r="K2" s="1442"/>
      <c r="L2" s="1442"/>
      <c r="M2" s="1442"/>
      <c r="N2" s="1442"/>
      <c r="O2" s="1442"/>
      <c r="P2" s="1442"/>
      <c r="Q2" s="1442"/>
      <c r="R2" s="1442"/>
      <c r="S2" s="1442"/>
      <c r="T2" s="1442"/>
      <c r="U2" s="1442"/>
      <c r="V2" s="1442"/>
      <c r="W2" s="1442"/>
      <c r="X2" s="1442"/>
      <c r="Y2" s="1442"/>
      <c r="Z2" s="1442"/>
      <c r="AA2" s="1442"/>
      <c r="AB2" s="1442"/>
      <c r="AC2" s="1442"/>
      <c r="AD2" s="1442"/>
      <c r="AE2" s="1442"/>
      <c r="AF2" s="1443"/>
      <c r="AR2" s="233"/>
    </row>
    <row r="3" spans="1:48" ht="27.75" customHeight="1" thickBot="1" x14ac:dyDescent="0.3">
      <c r="B3" s="1517"/>
      <c r="C3" s="1518"/>
      <c r="D3" s="1518"/>
      <c r="E3" s="1518"/>
      <c r="F3" s="1518"/>
      <c r="G3" s="1519"/>
      <c r="H3" s="1444" t="s">
        <v>210</v>
      </c>
      <c r="I3" s="1445"/>
      <c r="J3" s="1445"/>
      <c r="K3" s="1445"/>
      <c r="L3" s="1445"/>
      <c r="M3" s="1445"/>
      <c r="N3" s="1445"/>
      <c r="O3" s="1445"/>
      <c r="P3" s="1445"/>
      <c r="Q3" s="1445"/>
      <c r="R3" s="1445"/>
      <c r="S3" s="1445"/>
      <c r="T3" s="1445"/>
      <c r="U3" s="1445"/>
      <c r="V3" s="1445"/>
      <c r="W3" s="1445"/>
      <c r="X3" s="1445"/>
      <c r="Y3" s="1445"/>
      <c r="Z3" s="1445"/>
      <c r="AA3" s="1445"/>
      <c r="AB3" s="1445"/>
      <c r="AC3" s="1445"/>
      <c r="AD3" s="1445"/>
      <c r="AE3" s="1445"/>
      <c r="AF3" s="1445"/>
      <c r="AR3" s="233"/>
    </row>
    <row r="4" spans="1:48" ht="39.75" customHeight="1" thickBot="1" x14ac:dyDescent="0.3">
      <c r="B4" s="1504" t="s">
        <v>1</v>
      </c>
      <c r="C4" s="1505"/>
      <c r="D4" s="1505"/>
      <c r="E4" s="1505"/>
      <c r="F4" s="1505"/>
      <c r="G4" s="1505"/>
      <c r="H4" s="1512" t="s">
        <v>227</v>
      </c>
      <c r="I4" s="1513"/>
      <c r="J4" s="1513"/>
      <c r="K4" s="1513"/>
      <c r="L4" s="1513"/>
      <c r="M4" s="1513"/>
      <c r="N4" s="1513"/>
      <c r="O4" s="1513"/>
      <c r="P4" s="1513"/>
      <c r="Q4" s="1513"/>
      <c r="R4" s="1513"/>
      <c r="S4" s="1513"/>
      <c r="T4" s="1513"/>
      <c r="U4" s="1513"/>
      <c r="V4" s="1513"/>
      <c r="W4" s="1513"/>
      <c r="X4" s="1513"/>
      <c r="Y4" s="1513"/>
      <c r="Z4" s="1513"/>
      <c r="AA4" s="1513"/>
      <c r="AB4" s="1513"/>
      <c r="AC4" s="1513"/>
      <c r="AD4" s="1513"/>
      <c r="AE4" s="1513"/>
      <c r="AF4" s="1514"/>
      <c r="AR4" s="233"/>
    </row>
    <row r="5" spans="1:48" s="237" customFormat="1" ht="27.75" hidden="1" customHeight="1" x14ac:dyDescent="0.25">
      <c r="B5" s="1504" t="s">
        <v>235</v>
      </c>
      <c r="C5" s="1505"/>
      <c r="D5" s="1505"/>
      <c r="E5" s="1505"/>
      <c r="F5" s="1505"/>
      <c r="G5" s="1506"/>
      <c r="H5" s="232"/>
      <c r="I5" s="1507"/>
      <c r="J5" s="1508"/>
      <c r="K5" s="1508"/>
      <c r="L5" s="1508"/>
      <c r="M5" s="1508"/>
      <c r="N5" s="1508"/>
      <c r="O5" s="1508"/>
      <c r="P5" s="1508"/>
      <c r="Q5" s="1508"/>
      <c r="R5" s="1508"/>
      <c r="S5" s="1508"/>
      <c r="T5" s="1508"/>
      <c r="U5" s="1508"/>
      <c r="V5" s="1509"/>
      <c r="W5" s="1507" t="s">
        <v>4</v>
      </c>
      <c r="X5" s="1508"/>
      <c r="Y5" s="1510" t="str">
        <f>IF(ISERROR(VLOOKUP($I$5,$G$176:$M$190,6,0))," ",VLOOKUP($I$5,$G$176:$M$190,6,0))</f>
        <v xml:space="preserve"> </v>
      </c>
      <c r="Z5" s="1510"/>
      <c r="AA5" s="1511"/>
      <c r="AB5" s="235"/>
      <c r="AC5" s="230"/>
      <c r="AD5" s="230"/>
      <c r="AE5" s="231"/>
      <c r="AF5" s="236"/>
      <c r="AG5" s="230"/>
      <c r="AH5" s="230"/>
      <c r="AI5" s="230"/>
      <c r="AR5" s="238"/>
    </row>
    <row r="6" spans="1:48" s="237" customFormat="1" ht="27.75" hidden="1" customHeight="1" x14ac:dyDescent="0.25">
      <c r="B6" s="1504" t="s">
        <v>5</v>
      </c>
      <c r="C6" s="1505"/>
      <c r="D6" s="1505"/>
      <c r="E6" s="1505"/>
      <c r="F6" s="1505"/>
      <c r="G6" s="1506"/>
      <c r="H6" s="232"/>
      <c r="I6" s="1520" t="str">
        <f>IF(ISERROR(VLOOKUP(I5,G177:N190,7,0))," ",(VLOOKUP(I5,G177:N190,7,0)))</f>
        <v xml:space="preserve"> </v>
      </c>
      <c r="J6" s="1521"/>
      <c r="K6" s="1521"/>
      <c r="L6" s="1521"/>
      <c r="M6" s="1521"/>
      <c r="N6" s="1521"/>
      <c r="O6" s="1521"/>
      <c r="P6" s="1521"/>
      <c r="Q6" s="1521"/>
      <c r="R6" s="1521"/>
      <c r="S6" s="1521"/>
      <c r="T6" s="1521"/>
      <c r="U6" s="1521"/>
      <c r="V6" s="1521"/>
      <c r="W6" s="1521"/>
      <c r="X6" s="1521"/>
      <c r="Y6" s="1521"/>
      <c r="Z6" s="1521"/>
      <c r="AA6" s="1522"/>
      <c r="AB6" s="230"/>
      <c r="AC6" s="230"/>
      <c r="AD6" s="239"/>
      <c r="AE6" s="231"/>
      <c r="AF6" s="236"/>
      <c r="AG6" s="234"/>
      <c r="AH6" s="234"/>
      <c r="AI6" s="234"/>
      <c r="AJ6" s="234"/>
      <c r="AK6" s="234"/>
      <c r="AL6" s="234"/>
      <c r="AM6" s="234"/>
      <c r="AN6" s="234"/>
      <c r="AO6" s="234"/>
      <c r="AP6" s="234"/>
      <c r="AQ6" s="234"/>
      <c r="AR6" s="240"/>
      <c r="AS6" s="234"/>
      <c r="AT6" s="234"/>
      <c r="AU6" s="234"/>
      <c r="AV6" s="234"/>
    </row>
    <row r="7" spans="1:48" s="237" customFormat="1" ht="27.75" hidden="1" customHeight="1" thickBot="1" x14ac:dyDescent="0.3">
      <c r="B7" s="1479" t="s">
        <v>6</v>
      </c>
      <c r="C7" s="1480"/>
      <c r="D7" s="1480"/>
      <c r="E7" s="1480"/>
      <c r="F7" s="1480"/>
      <c r="G7" s="1481"/>
      <c r="H7" s="1438" t="s">
        <v>236</v>
      </c>
      <c r="I7" s="1439"/>
      <c r="J7" s="1439"/>
      <c r="K7" s="1439"/>
      <c r="L7" s="1439"/>
      <c r="M7" s="1439"/>
      <c r="N7" s="1439"/>
      <c r="O7" s="1439"/>
      <c r="P7" s="1439"/>
      <c r="Q7" s="1439"/>
      <c r="R7" s="1439"/>
      <c r="S7" s="1439"/>
      <c r="T7" s="1439"/>
      <c r="U7" s="1439"/>
      <c r="V7" s="1440"/>
      <c r="W7" s="1482" t="s">
        <v>7</v>
      </c>
      <c r="X7" s="1483"/>
      <c r="Y7" s="1483"/>
      <c r="Z7" s="1483"/>
      <c r="AA7" s="241">
        <f>SUM(AA11:AA15)</f>
        <v>0</v>
      </c>
      <c r="AB7" s="230"/>
      <c r="AC7" s="230"/>
      <c r="AD7" s="230"/>
      <c r="AE7" s="230"/>
      <c r="AG7" s="230"/>
      <c r="AH7" s="230"/>
      <c r="AI7" s="230"/>
      <c r="AR7" s="238"/>
    </row>
    <row r="8" spans="1:48" s="237" customFormat="1" ht="18" thickBot="1" x14ac:dyDescent="0.3">
      <c r="A8" s="1437"/>
      <c r="B8" s="1473" t="s">
        <v>8</v>
      </c>
      <c r="C8" s="1467" t="s">
        <v>9</v>
      </c>
      <c r="D8" s="1486" t="s">
        <v>10</v>
      </c>
      <c r="E8" s="1467" t="s">
        <v>289</v>
      </c>
      <c r="F8" s="1467" t="s">
        <v>285</v>
      </c>
      <c r="G8" s="1462" t="s">
        <v>253</v>
      </c>
      <c r="H8" s="1465" t="s">
        <v>228</v>
      </c>
      <c r="I8" s="1467" t="s">
        <v>11</v>
      </c>
      <c r="J8" s="1470" t="s">
        <v>12</v>
      </c>
      <c r="K8" s="1473" t="s">
        <v>13</v>
      </c>
      <c r="L8" s="1476" t="s">
        <v>14</v>
      </c>
      <c r="M8" s="1477"/>
      <c r="N8" s="1477"/>
      <c r="O8" s="1477"/>
      <c r="P8" s="1477"/>
      <c r="Q8" s="1477"/>
      <c r="R8" s="1477"/>
      <c r="S8" s="1477"/>
      <c r="T8" s="1477"/>
      <c r="U8" s="1477"/>
      <c r="V8" s="1477"/>
      <c r="W8" s="1477"/>
      <c r="X8" s="1477"/>
      <c r="Y8" s="1477"/>
      <c r="Z8" s="1478"/>
      <c r="AA8" s="1497" t="s">
        <v>15</v>
      </c>
      <c r="AB8" s="1488" t="s">
        <v>16</v>
      </c>
      <c r="AC8" s="1489"/>
      <c r="AD8" s="1489"/>
      <c r="AE8" s="1500"/>
      <c r="AF8" s="1501" t="s">
        <v>17</v>
      </c>
      <c r="AG8" s="1455" t="s">
        <v>18</v>
      </c>
      <c r="AH8" s="1456"/>
      <c r="AI8" s="1457"/>
      <c r="AJ8" s="1455" t="s">
        <v>19</v>
      </c>
      <c r="AK8" s="1456"/>
      <c r="AL8" s="1457"/>
      <c r="AM8" s="1455" t="s">
        <v>20</v>
      </c>
      <c r="AN8" s="1456"/>
      <c r="AO8" s="1457"/>
      <c r="AP8" s="1455" t="s">
        <v>21</v>
      </c>
      <c r="AQ8" s="1456"/>
      <c r="AR8" s="1457"/>
    </row>
    <row r="9" spans="1:48" s="237" customFormat="1" ht="15.75" customHeight="1" x14ac:dyDescent="0.25">
      <c r="A9" s="1437"/>
      <c r="B9" s="1484"/>
      <c r="C9" s="1468"/>
      <c r="D9" s="1487"/>
      <c r="E9" s="1468"/>
      <c r="F9" s="1468"/>
      <c r="G9" s="1463"/>
      <c r="H9" s="1466"/>
      <c r="I9" s="1468"/>
      <c r="J9" s="1471"/>
      <c r="K9" s="1474"/>
      <c r="L9" s="1488" t="s">
        <v>22</v>
      </c>
      <c r="M9" s="1489"/>
      <c r="N9" s="1490"/>
      <c r="O9" s="1461" t="s">
        <v>23</v>
      </c>
      <c r="P9" s="1491"/>
      <c r="Q9" s="1492"/>
      <c r="R9" s="1493" t="s">
        <v>24</v>
      </c>
      <c r="S9" s="1491"/>
      <c r="T9" s="1494"/>
      <c r="U9" s="1461" t="s">
        <v>25</v>
      </c>
      <c r="V9" s="1491"/>
      <c r="W9" s="1492"/>
      <c r="X9" s="1493" t="s">
        <v>26</v>
      </c>
      <c r="Y9" s="1491"/>
      <c r="Z9" s="1494"/>
      <c r="AA9" s="1498"/>
      <c r="AB9" s="1495" t="s">
        <v>27</v>
      </c>
      <c r="AC9" s="1492" t="s">
        <v>28</v>
      </c>
      <c r="AD9" s="1461"/>
      <c r="AE9" s="1496" t="s">
        <v>29</v>
      </c>
      <c r="AF9" s="1502"/>
      <c r="AG9" s="1460" t="s">
        <v>30</v>
      </c>
      <c r="AH9" s="1461"/>
      <c r="AI9" s="1458" t="s">
        <v>31</v>
      </c>
      <c r="AJ9" s="1460" t="s">
        <v>30</v>
      </c>
      <c r="AK9" s="1461"/>
      <c r="AL9" s="1458" t="s">
        <v>31</v>
      </c>
      <c r="AM9" s="1460" t="s">
        <v>30</v>
      </c>
      <c r="AN9" s="1461"/>
      <c r="AO9" s="1458" t="s">
        <v>31</v>
      </c>
      <c r="AP9" s="1460" t="s">
        <v>30</v>
      </c>
      <c r="AQ9" s="1461"/>
      <c r="AR9" s="1458" t="s">
        <v>31</v>
      </c>
    </row>
    <row r="10" spans="1:48" s="237" customFormat="1" ht="24.75" customHeight="1" thickBot="1" x14ac:dyDescent="0.3">
      <c r="A10" s="1437"/>
      <c r="B10" s="1485"/>
      <c r="C10" s="1469"/>
      <c r="D10" s="1487"/>
      <c r="E10" s="1469"/>
      <c r="F10" s="1469"/>
      <c r="G10" s="1464"/>
      <c r="H10" s="1466"/>
      <c r="I10" s="1469"/>
      <c r="J10" s="1472"/>
      <c r="K10" s="1475"/>
      <c r="L10" s="345" t="s">
        <v>32</v>
      </c>
      <c r="M10" s="265" t="s">
        <v>33</v>
      </c>
      <c r="N10" s="406" t="s">
        <v>34</v>
      </c>
      <c r="O10" s="316" t="s">
        <v>32</v>
      </c>
      <c r="P10" s="265" t="s">
        <v>33</v>
      </c>
      <c r="Q10" s="407" t="s">
        <v>34</v>
      </c>
      <c r="R10" s="345" t="s">
        <v>32</v>
      </c>
      <c r="S10" s="265" t="s">
        <v>33</v>
      </c>
      <c r="T10" s="406" t="s">
        <v>34</v>
      </c>
      <c r="U10" s="316" t="s">
        <v>32</v>
      </c>
      <c r="V10" s="265" t="s">
        <v>33</v>
      </c>
      <c r="W10" s="407" t="s">
        <v>34</v>
      </c>
      <c r="X10" s="345" t="s">
        <v>35</v>
      </c>
      <c r="Y10" s="265" t="s">
        <v>36</v>
      </c>
      <c r="Z10" s="355" t="s">
        <v>34</v>
      </c>
      <c r="AA10" s="1499"/>
      <c r="AB10" s="1495"/>
      <c r="AC10" s="265" t="s">
        <v>37</v>
      </c>
      <c r="AD10" s="265" t="s">
        <v>38</v>
      </c>
      <c r="AE10" s="1496"/>
      <c r="AF10" s="1503"/>
      <c r="AG10" s="242" t="s">
        <v>37</v>
      </c>
      <c r="AH10" s="243" t="s">
        <v>38</v>
      </c>
      <c r="AI10" s="1459"/>
      <c r="AJ10" s="242" t="s">
        <v>37</v>
      </c>
      <c r="AK10" s="243" t="s">
        <v>38</v>
      </c>
      <c r="AL10" s="1459"/>
      <c r="AM10" s="242" t="s">
        <v>37</v>
      </c>
      <c r="AN10" s="243" t="s">
        <v>38</v>
      </c>
      <c r="AO10" s="1459"/>
      <c r="AP10" s="242" t="s">
        <v>37</v>
      </c>
      <c r="AQ10" s="243" t="s">
        <v>38</v>
      </c>
      <c r="AR10" s="1459"/>
    </row>
    <row r="11" spans="1:48" s="237" customFormat="1" ht="66.75" customHeight="1" x14ac:dyDescent="0.25">
      <c r="B11" s="1488" t="s">
        <v>211</v>
      </c>
      <c r="C11" s="1524">
        <v>1</v>
      </c>
      <c r="D11" s="1524" t="s">
        <v>248</v>
      </c>
      <c r="E11" s="1523">
        <v>0.18</v>
      </c>
      <c r="F11" s="308" t="s">
        <v>286</v>
      </c>
      <c r="G11" s="276" t="s">
        <v>254</v>
      </c>
      <c r="H11" s="338">
        <v>0.73</v>
      </c>
      <c r="I11" s="338"/>
      <c r="J11" s="338" t="s">
        <v>39</v>
      </c>
      <c r="K11" s="338" t="s">
        <v>40</v>
      </c>
      <c r="L11" s="308"/>
      <c r="M11" s="276">
        <f t="shared" ref="M11:M26" si="0">IF(J11="Cantidad",AG11,IF(ISERROR(AG11/AH11),0,AG11/AH11))</f>
        <v>0</v>
      </c>
      <c r="N11" s="283">
        <f t="shared" ref="N11:N26" si="1">IF(ISERROR(M11/L11),0,(M11/L11))</f>
        <v>0</v>
      </c>
      <c r="O11" s="308"/>
      <c r="P11" s="276">
        <f>IF(M11="Cantidad",AJ11,IF(ISERROR(AJ11/AK11),0,AJ11/AK11))</f>
        <v>0</v>
      </c>
      <c r="Q11" s="283">
        <f>IF(ISERROR(P11/O11),0,(P11/O11))</f>
        <v>0</v>
      </c>
      <c r="R11" s="308"/>
      <c r="S11" s="276">
        <f t="shared" ref="S11:S26" si="2">IF(J11="Cantidad",AM11,IF(ISERROR(AM11/AN11),0,AM11/AN11))</f>
        <v>0</v>
      </c>
      <c r="T11" s="283">
        <f t="shared" ref="T11:T26" si="3">IF(ISERROR(S11/R11),0,(S11/R11))</f>
        <v>0</v>
      </c>
      <c r="U11" s="308"/>
      <c r="V11" s="276">
        <f t="shared" ref="V11:V26" si="4">IF(J11="Cantidad",AP11,IF(ISERROR(AP11/AQ11),0,AP11/AQ11))</f>
        <v>0</v>
      </c>
      <c r="W11" s="283">
        <f t="shared" ref="W11:W26" si="5">IF(ISERROR(V11/U11),0,(V11/U11))</f>
        <v>0</v>
      </c>
      <c r="X11" s="396">
        <f>IF(K11="SUMA",(L11+O11+R11+U11),(L11))</f>
        <v>0</v>
      </c>
      <c r="Y11" s="276">
        <f t="shared" ref="Y11:Y26" si="6">IF(ISERROR(AVERAGE(M11,P11,S11,V11)),0,IF(K11="Suma",(M11+P11+S11+V11),AVERAGE(M11,P11,S11,V11)))</f>
        <v>0</v>
      </c>
      <c r="Z11" s="283">
        <f t="shared" ref="Z11:Z26" si="7">IF(ISERROR(Y11/X11),0,(Y11/X11))</f>
        <v>0</v>
      </c>
      <c r="AA11" s="284">
        <f t="shared" ref="AA11:AA26" si="8">+Z11*I11</f>
        <v>0</v>
      </c>
      <c r="AB11" s="285" t="s">
        <v>443</v>
      </c>
      <c r="AC11" s="308" t="s">
        <v>314</v>
      </c>
      <c r="AD11" s="308" t="s">
        <v>428</v>
      </c>
      <c r="AE11" s="285" t="s">
        <v>43</v>
      </c>
      <c r="AF11" s="392" t="s">
        <v>320</v>
      </c>
      <c r="AG11" s="343"/>
      <c r="AH11" s="246"/>
      <c r="AI11" s="247"/>
      <c r="AJ11" s="248"/>
      <c r="AK11" s="249"/>
      <c r="AL11" s="250"/>
      <c r="AM11" s="248"/>
      <c r="AN11" s="249"/>
      <c r="AO11" s="251"/>
      <c r="AP11" s="248"/>
      <c r="AQ11" s="249"/>
      <c r="AR11" s="251"/>
    </row>
    <row r="12" spans="1:48" s="237" customFormat="1" ht="69" x14ac:dyDescent="0.25">
      <c r="B12" s="1446"/>
      <c r="C12" s="1447"/>
      <c r="D12" s="1447"/>
      <c r="E12" s="1454"/>
      <c r="F12" s="252" t="s">
        <v>288</v>
      </c>
      <c r="G12" s="253" t="s">
        <v>255</v>
      </c>
      <c r="H12" s="318">
        <v>0.75</v>
      </c>
      <c r="I12" s="318"/>
      <c r="J12" s="318" t="s">
        <v>39</v>
      </c>
      <c r="K12" s="318" t="s">
        <v>40</v>
      </c>
      <c r="L12" s="318"/>
      <c r="M12" s="253">
        <f t="shared" si="0"/>
        <v>0</v>
      </c>
      <c r="N12" s="394">
        <f t="shared" si="1"/>
        <v>0</v>
      </c>
      <c r="O12" s="318"/>
      <c r="P12" s="253">
        <f>IF(M12="Cantidad",AJ12,IF(ISERROR(AJ12/AK12),0,AJ12/AK12))</f>
        <v>0</v>
      </c>
      <c r="Q12" s="394">
        <f>IF(ISERROR(P12/O12),0,(P12/O12))</f>
        <v>0</v>
      </c>
      <c r="R12" s="318"/>
      <c r="S12" s="253">
        <f t="shared" si="2"/>
        <v>0</v>
      </c>
      <c r="T12" s="394">
        <f t="shared" si="3"/>
        <v>0</v>
      </c>
      <c r="U12" s="318"/>
      <c r="V12" s="253">
        <f t="shared" si="4"/>
        <v>0</v>
      </c>
      <c r="W12" s="394">
        <f t="shared" si="5"/>
        <v>0</v>
      </c>
      <c r="X12" s="380">
        <f t="shared" ref="X12:X26" si="9">IF(K12="SUMA",(L12+O12+R12+U12),(L12))</f>
        <v>0</v>
      </c>
      <c r="Y12" s="253">
        <f t="shared" si="6"/>
        <v>0</v>
      </c>
      <c r="Z12" s="394">
        <f t="shared" si="7"/>
        <v>0</v>
      </c>
      <c r="AA12" s="395">
        <f t="shared" si="8"/>
        <v>0</v>
      </c>
      <c r="AB12" s="319" t="s">
        <v>442</v>
      </c>
      <c r="AC12" s="252" t="s">
        <v>314</v>
      </c>
      <c r="AD12" s="252" t="s">
        <v>428</v>
      </c>
      <c r="AE12" s="319" t="s">
        <v>43</v>
      </c>
      <c r="AF12" s="397" t="s">
        <v>321</v>
      </c>
      <c r="AG12" s="373"/>
      <c r="AH12" s="258"/>
      <c r="AI12" s="259"/>
      <c r="AJ12" s="260"/>
      <c r="AK12" s="261"/>
      <c r="AL12" s="262"/>
      <c r="AM12" s="260"/>
      <c r="AN12" s="261"/>
      <c r="AO12" s="263"/>
      <c r="AP12" s="260"/>
      <c r="AQ12" s="261"/>
      <c r="AR12" s="263"/>
    </row>
    <row r="13" spans="1:48" s="237" customFormat="1" ht="69" x14ac:dyDescent="0.25">
      <c r="B13" s="1446"/>
      <c r="C13" s="1447"/>
      <c r="D13" s="1447"/>
      <c r="E13" s="1454"/>
      <c r="F13" s="252" t="s">
        <v>274</v>
      </c>
      <c r="G13" s="253" t="s">
        <v>268</v>
      </c>
      <c r="H13" s="318">
        <v>1</v>
      </c>
      <c r="I13" s="318"/>
      <c r="J13" s="318" t="s">
        <v>39</v>
      </c>
      <c r="K13" s="318" t="s">
        <v>40</v>
      </c>
      <c r="L13" s="253"/>
      <c r="M13" s="253">
        <f t="shared" si="0"/>
        <v>0</v>
      </c>
      <c r="N13" s="394">
        <f t="shared" si="1"/>
        <v>0</v>
      </c>
      <c r="O13" s="252"/>
      <c r="P13" s="253">
        <f t="shared" ref="P13:P21" si="10">IF(M13="Cantidad",AJ13,IF(ISERROR(AJ13/AK13),0,AJ13/AK13))</f>
        <v>0</v>
      </c>
      <c r="Q13" s="394">
        <f>IF(ISERROR(P12/O12),0,(P12/O12))</f>
        <v>0</v>
      </c>
      <c r="R13" s="252"/>
      <c r="S13" s="253">
        <f t="shared" si="2"/>
        <v>0</v>
      </c>
      <c r="T13" s="394">
        <f t="shared" si="3"/>
        <v>0</v>
      </c>
      <c r="U13" s="252"/>
      <c r="V13" s="253">
        <f t="shared" si="4"/>
        <v>0</v>
      </c>
      <c r="W13" s="394">
        <f t="shared" si="5"/>
        <v>0</v>
      </c>
      <c r="X13" s="378">
        <f t="shared" si="9"/>
        <v>0</v>
      </c>
      <c r="Y13" s="253">
        <f t="shared" si="6"/>
        <v>0</v>
      </c>
      <c r="Z13" s="394">
        <f t="shared" si="7"/>
        <v>0</v>
      </c>
      <c r="AA13" s="395">
        <f t="shared" si="8"/>
        <v>0</v>
      </c>
      <c r="AB13" s="319" t="s">
        <v>441</v>
      </c>
      <c r="AC13" s="252" t="s">
        <v>316</v>
      </c>
      <c r="AD13" s="252" t="s">
        <v>315</v>
      </c>
      <c r="AE13" s="319" t="s">
        <v>43</v>
      </c>
      <c r="AF13" s="397" t="s">
        <v>322</v>
      </c>
      <c r="AG13" s="373"/>
      <c r="AH13" s="258"/>
      <c r="AI13" s="259"/>
      <c r="AJ13" s="260"/>
      <c r="AK13" s="261"/>
      <c r="AL13" s="264"/>
      <c r="AM13" s="260"/>
      <c r="AN13" s="261"/>
      <c r="AO13" s="263"/>
      <c r="AP13" s="260"/>
      <c r="AQ13" s="261"/>
      <c r="AR13" s="263"/>
    </row>
    <row r="14" spans="1:48" s="237" customFormat="1" ht="103.5" x14ac:dyDescent="0.25">
      <c r="B14" s="1446"/>
      <c r="C14" s="1447"/>
      <c r="D14" s="1447"/>
      <c r="E14" s="1454"/>
      <c r="F14" s="252" t="s">
        <v>275</v>
      </c>
      <c r="G14" s="253" t="s">
        <v>445</v>
      </c>
      <c r="H14" s="318">
        <v>0.65</v>
      </c>
      <c r="I14" s="318"/>
      <c r="J14" s="318" t="s">
        <v>39</v>
      </c>
      <c r="K14" s="318" t="s">
        <v>40</v>
      </c>
      <c r="L14" s="253"/>
      <c r="M14" s="253">
        <f t="shared" si="0"/>
        <v>0</v>
      </c>
      <c r="N14" s="394">
        <f t="shared" si="1"/>
        <v>0</v>
      </c>
      <c r="O14" s="252"/>
      <c r="P14" s="253">
        <f t="shared" si="10"/>
        <v>0</v>
      </c>
      <c r="Q14" s="394">
        <f>IF(ISERROR(P13/O13),0,(P13/O13))</f>
        <v>0</v>
      </c>
      <c r="R14" s="252"/>
      <c r="S14" s="253">
        <f t="shared" si="2"/>
        <v>0</v>
      </c>
      <c r="T14" s="394">
        <f t="shared" si="3"/>
        <v>0</v>
      </c>
      <c r="U14" s="252"/>
      <c r="V14" s="253">
        <f t="shared" si="4"/>
        <v>0</v>
      </c>
      <c r="W14" s="394">
        <f t="shared" si="5"/>
        <v>0</v>
      </c>
      <c r="X14" s="378">
        <f t="shared" si="9"/>
        <v>0</v>
      </c>
      <c r="Y14" s="253">
        <f t="shared" si="6"/>
        <v>0</v>
      </c>
      <c r="Z14" s="394">
        <f t="shared" si="7"/>
        <v>0</v>
      </c>
      <c r="AA14" s="395">
        <f t="shared" si="8"/>
        <v>0</v>
      </c>
      <c r="AB14" s="319" t="s">
        <v>446</v>
      </c>
      <c r="AC14" s="319" t="s">
        <v>430</v>
      </c>
      <c r="AD14" s="252" t="s">
        <v>429</v>
      </c>
      <c r="AE14" s="319" t="s">
        <v>43</v>
      </c>
      <c r="AF14" s="397" t="s">
        <v>427</v>
      </c>
      <c r="AG14" s="373"/>
      <c r="AH14" s="258"/>
      <c r="AI14" s="259"/>
      <c r="AJ14" s="260"/>
      <c r="AK14" s="261"/>
      <c r="AL14" s="264"/>
      <c r="AM14" s="260"/>
      <c r="AN14" s="261"/>
      <c r="AO14" s="263"/>
      <c r="AP14" s="260"/>
      <c r="AQ14" s="261"/>
      <c r="AR14" s="263"/>
    </row>
    <row r="15" spans="1:48" s="237" customFormat="1" ht="51.75" x14ac:dyDescent="0.25">
      <c r="B15" s="1446"/>
      <c r="C15" s="1447"/>
      <c r="D15" s="1447"/>
      <c r="E15" s="1454"/>
      <c r="F15" s="252" t="s">
        <v>287</v>
      </c>
      <c r="G15" s="390" t="s">
        <v>651</v>
      </c>
      <c r="H15" s="318"/>
      <c r="I15" s="318"/>
      <c r="J15" s="318"/>
      <c r="K15" s="318"/>
      <c r="L15" s="253"/>
      <c r="M15" s="253"/>
      <c r="N15" s="394"/>
      <c r="O15" s="252"/>
      <c r="P15" s="253"/>
      <c r="Q15" s="394"/>
      <c r="R15" s="252"/>
      <c r="S15" s="253"/>
      <c r="T15" s="394"/>
      <c r="U15" s="252"/>
      <c r="V15" s="253"/>
      <c r="W15" s="394"/>
      <c r="X15" s="378"/>
      <c r="Y15" s="253"/>
      <c r="Z15" s="394"/>
      <c r="AA15" s="395"/>
      <c r="AB15" s="319"/>
      <c r="AC15" s="319"/>
      <c r="AD15" s="252"/>
      <c r="AE15" s="319"/>
      <c r="AF15" s="397"/>
      <c r="AG15" s="372"/>
      <c r="AH15" s="274"/>
      <c r="AI15" s="275"/>
      <c r="AJ15" s="279"/>
      <c r="AK15" s="280"/>
      <c r="AL15" s="346"/>
      <c r="AM15" s="279"/>
      <c r="AN15" s="280"/>
      <c r="AO15" s="282"/>
      <c r="AP15" s="279"/>
      <c r="AQ15" s="280"/>
      <c r="AR15" s="282"/>
    </row>
    <row r="16" spans="1:48" s="237" customFormat="1" ht="51.75" x14ac:dyDescent="0.25">
      <c r="B16" s="1446"/>
      <c r="C16" s="1447"/>
      <c r="D16" s="1447"/>
      <c r="E16" s="1454"/>
      <c r="F16" s="252" t="s">
        <v>290</v>
      </c>
      <c r="G16" s="390" t="s">
        <v>652</v>
      </c>
      <c r="H16" s="318"/>
      <c r="I16" s="318"/>
      <c r="J16" s="318"/>
      <c r="K16" s="318"/>
      <c r="L16" s="253"/>
      <c r="M16" s="253"/>
      <c r="N16" s="394"/>
      <c r="O16" s="252"/>
      <c r="P16" s="253"/>
      <c r="Q16" s="394"/>
      <c r="R16" s="252"/>
      <c r="S16" s="253"/>
      <c r="T16" s="394"/>
      <c r="U16" s="252"/>
      <c r="V16" s="253"/>
      <c r="W16" s="394"/>
      <c r="X16" s="378"/>
      <c r="Y16" s="253"/>
      <c r="Z16" s="394"/>
      <c r="AA16" s="395"/>
      <c r="AB16" s="319"/>
      <c r="AC16" s="319"/>
      <c r="AD16" s="252"/>
      <c r="AE16" s="319"/>
      <c r="AF16" s="397"/>
      <c r="AG16" s="372"/>
      <c r="AH16" s="274"/>
      <c r="AI16" s="275"/>
      <c r="AJ16" s="279"/>
      <c r="AK16" s="280"/>
      <c r="AL16" s="346"/>
      <c r="AM16" s="279"/>
      <c r="AN16" s="280"/>
      <c r="AO16" s="282"/>
      <c r="AP16" s="279"/>
      <c r="AQ16" s="280"/>
      <c r="AR16" s="282"/>
    </row>
    <row r="17" spans="2:44" s="237" customFormat="1" ht="34.5" x14ac:dyDescent="0.25">
      <c r="B17" s="1446"/>
      <c r="C17" s="1447"/>
      <c r="D17" s="1447"/>
      <c r="E17" s="1454"/>
      <c r="F17" s="252" t="s">
        <v>291</v>
      </c>
      <c r="G17" s="390" t="s">
        <v>653</v>
      </c>
      <c r="H17" s="318"/>
      <c r="I17" s="318"/>
      <c r="J17" s="318"/>
      <c r="K17" s="318"/>
      <c r="L17" s="253"/>
      <c r="M17" s="253"/>
      <c r="N17" s="394"/>
      <c r="O17" s="252"/>
      <c r="P17" s="253"/>
      <c r="Q17" s="394"/>
      <c r="R17" s="252"/>
      <c r="S17" s="253"/>
      <c r="T17" s="394"/>
      <c r="U17" s="252"/>
      <c r="V17" s="253"/>
      <c r="W17" s="394"/>
      <c r="X17" s="378"/>
      <c r="Y17" s="253"/>
      <c r="Z17" s="394"/>
      <c r="AA17" s="395"/>
      <c r="AB17" s="319"/>
      <c r="AC17" s="319"/>
      <c r="AD17" s="252"/>
      <c r="AE17" s="319"/>
      <c r="AF17" s="397"/>
      <c r="AG17" s="372"/>
      <c r="AH17" s="274"/>
      <c r="AI17" s="275"/>
      <c r="AJ17" s="279"/>
      <c r="AK17" s="280"/>
      <c r="AL17" s="346"/>
      <c r="AM17" s="279"/>
      <c r="AN17" s="280"/>
      <c r="AO17" s="282"/>
      <c r="AP17" s="279"/>
      <c r="AQ17" s="280"/>
      <c r="AR17" s="282"/>
    </row>
    <row r="18" spans="2:44" s="237" customFormat="1" ht="86.25" x14ac:dyDescent="0.25">
      <c r="B18" s="1446"/>
      <c r="C18" s="1447"/>
      <c r="D18" s="1447"/>
      <c r="E18" s="1454"/>
      <c r="F18" s="252" t="s">
        <v>610</v>
      </c>
      <c r="G18" s="390" t="s">
        <v>599</v>
      </c>
      <c r="H18" s="318"/>
      <c r="I18" s="318"/>
      <c r="J18" s="318"/>
      <c r="K18" s="318"/>
      <c r="L18" s="253"/>
      <c r="M18" s="253"/>
      <c r="N18" s="394"/>
      <c r="O18" s="252"/>
      <c r="P18" s="253"/>
      <c r="Q18" s="394"/>
      <c r="R18" s="252"/>
      <c r="S18" s="253"/>
      <c r="T18" s="394"/>
      <c r="U18" s="252"/>
      <c r="V18" s="253"/>
      <c r="W18" s="394"/>
      <c r="X18" s="378"/>
      <c r="Y18" s="253"/>
      <c r="Z18" s="394"/>
      <c r="AA18" s="395"/>
      <c r="AB18" s="319"/>
      <c r="AC18" s="319"/>
      <c r="AD18" s="252"/>
      <c r="AE18" s="319"/>
      <c r="AF18" s="397"/>
      <c r="AG18" s="372"/>
      <c r="AH18" s="274"/>
      <c r="AI18" s="275"/>
      <c r="AJ18" s="279"/>
      <c r="AK18" s="280"/>
      <c r="AL18" s="346"/>
      <c r="AM18" s="279"/>
      <c r="AN18" s="280"/>
      <c r="AO18" s="282"/>
      <c r="AP18" s="279"/>
      <c r="AQ18" s="280"/>
      <c r="AR18" s="282"/>
    </row>
    <row r="19" spans="2:44" s="237" customFormat="1" ht="103.5" x14ac:dyDescent="0.25">
      <c r="B19" s="1446"/>
      <c r="C19" s="1447"/>
      <c r="D19" s="1447"/>
      <c r="E19" s="1454"/>
      <c r="F19" s="252" t="s">
        <v>611</v>
      </c>
      <c r="G19" s="390" t="s">
        <v>601</v>
      </c>
      <c r="H19" s="318"/>
      <c r="I19" s="318"/>
      <c r="J19" s="318"/>
      <c r="K19" s="318"/>
      <c r="L19" s="253"/>
      <c r="M19" s="253"/>
      <c r="N19" s="394"/>
      <c r="O19" s="252"/>
      <c r="P19" s="253"/>
      <c r="Q19" s="394"/>
      <c r="R19" s="252"/>
      <c r="S19" s="253"/>
      <c r="T19" s="394"/>
      <c r="U19" s="252"/>
      <c r="V19" s="253"/>
      <c r="W19" s="394"/>
      <c r="X19" s="378"/>
      <c r="Y19" s="253"/>
      <c r="Z19" s="394"/>
      <c r="AA19" s="395"/>
      <c r="AB19" s="319"/>
      <c r="AC19" s="319"/>
      <c r="AD19" s="252"/>
      <c r="AE19" s="319"/>
      <c r="AF19" s="397"/>
      <c r="AG19" s="372"/>
      <c r="AH19" s="274"/>
      <c r="AI19" s="275"/>
      <c r="AJ19" s="279"/>
      <c r="AK19" s="280"/>
      <c r="AL19" s="346"/>
      <c r="AM19" s="279"/>
      <c r="AN19" s="280"/>
      <c r="AO19" s="282"/>
      <c r="AP19" s="279"/>
      <c r="AQ19" s="280"/>
      <c r="AR19" s="282"/>
    </row>
    <row r="20" spans="2:44" s="237" customFormat="1" ht="120.75" x14ac:dyDescent="0.25">
      <c r="B20" s="1446"/>
      <c r="C20" s="1447"/>
      <c r="D20" s="1447"/>
      <c r="E20" s="1454"/>
      <c r="F20" s="252" t="s">
        <v>612</v>
      </c>
      <c r="G20" s="390" t="s">
        <v>600</v>
      </c>
      <c r="H20" s="318"/>
      <c r="I20" s="318"/>
      <c r="J20" s="318"/>
      <c r="K20" s="318"/>
      <c r="L20" s="253"/>
      <c r="M20" s="253"/>
      <c r="N20" s="394"/>
      <c r="O20" s="252"/>
      <c r="P20" s="253"/>
      <c r="Q20" s="394"/>
      <c r="R20" s="252"/>
      <c r="S20" s="253"/>
      <c r="T20" s="394"/>
      <c r="U20" s="252"/>
      <c r="V20" s="253"/>
      <c r="W20" s="394"/>
      <c r="X20" s="378"/>
      <c r="Y20" s="253"/>
      <c r="Z20" s="394"/>
      <c r="AA20" s="395"/>
      <c r="AB20" s="319"/>
      <c r="AC20" s="319"/>
      <c r="AD20" s="252"/>
      <c r="AE20" s="319"/>
      <c r="AF20" s="397"/>
      <c r="AG20" s="372"/>
      <c r="AH20" s="274"/>
      <c r="AI20" s="275"/>
      <c r="AJ20" s="279"/>
      <c r="AK20" s="280"/>
      <c r="AL20" s="346"/>
      <c r="AM20" s="279"/>
      <c r="AN20" s="280"/>
      <c r="AO20" s="282"/>
      <c r="AP20" s="279"/>
      <c r="AQ20" s="280"/>
      <c r="AR20" s="282"/>
    </row>
    <row r="21" spans="2:44" s="237" customFormat="1" ht="104.25" thickBot="1" x14ac:dyDescent="0.3">
      <c r="B21" s="1446"/>
      <c r="C21" s="1447"/>
      <c r="D21" s="1447"/>
      <c r="E21" s="1454"/>
      <c r="F21" s="252" t="s">
        <v>613</v>
      </c>
      <c r="G21" s="253" t="s">
        <v>533</v>
      </c>
      <c r="H21" s="318">
        <v>1</v>
      </c>
      <c r="I21" s="318"/>
      <c r="J21" s="318" t="s">
        <v>39</v>
      </c>
      <c r="K21" s="318" t="s">
        <v>106</v>
      </c>
      <c r="L21" s="253"/>
      <c r="M21" s="253">
        <f t="shared" si="0"/>
        <v>0</v>
      </c>
      <c r="N21" s="394">
        <f t="shared" si="1"/>
        <v>0</v>
      </c>
      <c r="O21" s="252"/>
      <c r="P21" s="253">
        <f t="shared" si="10"/>
        <v>0</v>
      </c>
      <c r="Q21" s="394">
        <f>IF(ISERROR(P21/O21),0,(P21/O21))</f>
        <v>0</v>
      </c>
      <c r="R21" s="252"/>
      <c r="S21" s="253">
        <f t="shared" si="2"/>
        <v>0</v>
      </c>
      <c r="T21" s="394">
        <f t="shared" si="3"/>
        <v>0</v>
      </c>
      <c r="U21" s="252"/>
      <c r="V21" s="253">
        <f t="shared" si="4"/>
        <v>0</v>
      </c>
      <c r="W21" s="394">
        <f t="shared" si="5"/>
        <v>0</v>
      </c>
      <c r="X21" s="378">
        <f t="shared" si="9"/>
        <v>0</v>
      </c>
      <c r="Y21" s="253">
        <f t="shared" si="6"/>
        <v>0</v>
      </c>
      <c r="Z21" s="394">
        <f t="shared" si="7"/>
        <v>0</v>
      </c>
      <c r="AA21" s="395">
        <f t="shared" si="8"/>
        <v>0</v>
      </c>
      <c r="AB21" s="319" t="s">
        <v>447</v>
      </c>
      <c r="AC21" s="252" t="s">
        <v>317</v>
      </c>
      <c r="AD21" s="252" t="s">
        <v>431</v>
      </c>
      <c r="AE21" s="319" t="s">
        <v>43</v>
      </c>
      <c r="AF21" s="397" t="s">
        <v>322</v>
      </c>
      <c r="AG21" s="358"/>
      <c r="AH21" s="268"/>
      <c r="AI21" s="269"/>
      <c r="AJ21" s="270"/>
      <c r="AK21" s="271"/>
      <c r="AL21" s="272"/>
      <c r="AM21" s="270"/>
      <c r="AN21" s="271"/>
      <c r="AO21" s="273"/>
      <c r="AP21" s="270"/>
      <c r="AQ21" s="271"/>
      <c r="AR21" s="273"/>
    </row>
    <row r="22" spans="2:44" s="237" customFormat="1" ht="104.25" thickBot="1" x14ac:dyDescent="0.3">
      <c r="B22" s="1446" t="s">
        <v>598</v>
      </c>
      <c r="C22" s="1447">
        <v>2</v>
      </c>
      <c r="D22" s="1447" t="s">
        <v>252</v>
      </c>
      <c r="E22" s="1454">
        <v>0.2</v>
      </c>
      <c r="F22" s="252" t="s">
        <v>276</v>
      </c>
      <c r="G22" s="390" t="s">
        <v>601</v>
      </c>
      <c r="H22" s="318"/>
      <c r="I22" s="318">
        <v>0.5</v>
      </c>
      <c r="J22" s="318"/>
      <c r="K22" s="318"/>
      <c r="L22" s="253"/>
      <c r="M22" s="253"/>
      <c r="N22" s="394"/>
      <c r="O22" s="252"/>
      <c r="P22" s="253"/>
      <c r="Q22" s="394"/>
      <c r="R22" s="252"/>
      <c r="S22" s="253"/>
      <c r="T22" s="394"/>
      <c r="U22" s="252"/>
      <c r="V22" s="253"/>
      <c r="W22" s="394"/>
      <c r="X22" s="378"/>
      <c r="Y22" s="253"/>
      <c r="Z22" s="394"/>
      <c r="AA22" s="395"/>
      <c r="AB22" s="319"/>
      <c r="AC22" s="252"/>
      <c r="AD22" s="252"/>
      <c r="AE22" s="319"/>
      <c r="AF22" s="397"/>
      <c r="AG22" s="372"/>
      <c r="AH22" s="274"/>
      <c r="AI22" s="275"/>
      <c r="AJ22" s="270"/>
      <c r="AK22" s="271"/>
      <c r="AL22" s="272"/>
      <c r="AM22" s="270"/>
      <c r="AN22" s="271"/>
      <c r="AO22" s="273"/>
      <c r="AP22" s="270"/>
      <c r="AQ22" s="271"/>
      <c r="AR22" s="273"/>
    </row>
    <row r="23" spans="2:44" s="237" customFormat="1" ht="163.5" customHeight="1" thickBot="1" x14ac:dyDescent="0.3">
      <c r="B23" s="1446"/>
      <c r="C23" s="1447"/>
      <c r="D23" s="1447"/>
      <c r="E23" s="1454"/>
      <c r="F23" s="252" t="s">
        <v>277</v>
      </c>
      <c r="G23" s="253" t="s">
        <v>299</v>
      </c>
      <c r="H23" s="253">
        <v>265</v>
      </c>
      <c r="I23" s="318">
        <v>0.5</v>
      </c>
      <c r="J23" s="318" t="s">
        <v>39</v>
      </c>
      <c r="K23" s="318" t="s">
        <v>106</v>
      </c>
      <c r="L23" s="253"/>
      <c r="M23" s="253">
        <f t="shared" si="0"/>
        <v>0</v>
      </c>
      <c r="N23" s="394">
        <f t="shared" si="1"/>
        <v>0</v>
      </c>
      <c r="O23" s="252"/>
      <c r="P23" s="253">
        <f t="shared" ref="P23" si="11">IF(M23="Cantidad",AJ23,IF(ISERROR(AJ23/AK23),0,AJ23/AK23))</f>
        <v>0</v>
      </c>
      <c r="Q23" s="394">
        <f>IF(ISERROR(P23/O23),0,(P23/O23))</f>
        <v>0</v>
      </c>
      <c r="R23" s="252"/>
      <c r="S23" s="253">
        <f t="shared" si="2"/>
        <v>0</v>
      </c>
      <c r="T23" s="394">
        <f t="shared" si="3"/>
        <v>0</v>
      </c>
      <c r="U23" s="252"/>
      <c r="V23" s="253">
        <f t="shared" si="4"/>
        <v>0</v>
      </c>
      <c r="W23" s="394">
        <f t="shared" si="5"/>
        <v>0</v>
      </c>
      <c r="X23" s="378">
        <f>IF(K23="PORCENTAJE",(L23+O23+R23+U23),(L23))</f>
        <v>0</v>
      </c>
      <c r="Y23" s="253">
        <f t="shared" si="6"/>
        <v>0</v>
      </c>
      <c r="Z23" s="394">
        <f t="shared" si="7"/>
        <v>0</v>
      </c>
      <c r="AA23" s="395">
        <f t="shared" si="8"/>
        <v>0</v>
      </c>
      <c r="AB23" s="319" t="s">
        <v>444</v>
      </c>
      <c r="AC23" s="252" t="s">
        <v>433</v>
      </c>
      <c r="AD23" s="252" t="s">
        <v>432</v>
      </c>
      <c r="AE23" s="319" t="s">
        <v>43</v>
      </c>
      <c r="AF23" s="397" t="s">
        <v>322</v>
      </c>
      <c r="AG23" s="372"/>
      <c r="AH23" s="274"/>
      <c r="AI23" s="275"/>
      <c r="AJ23" s="270"/>
      <c r="AK23" s="271"/>
      <c r="AL23" s="272"/>
      <c r="AM23" s="270"/>
      <c r="AN23" s="271"/>
      <c r="AO23" s="273"/>
      <c r="AP23" s="270"/>
      <c r="AQ23" s="271"/>
      <c r="AR23" s="273"/>
    </row>
    <row r="24" spans="2:44" s="237" customFormat="1" ht="101.25" customHeight="1" x14ac:dyDescent="0.25">
      <c r="B24" s="1446" t="s">
        <v>598</v>
      </c>
      <c r="C24" s="1447">
        <v>3</v>
      </c>
      <c r="D24" s="1448" t="s">
        <v>249</v>
      </c>
      <c r="E24" s="1454">
        <v>0.2</v>
      </c>
      <c r="F24" s="252" t="s">
        <v>279</v>
      </c>
      <c r="G24" s="253" t="s">
        <v>292</v>
      </c>
      <c r="H24" s="377">
        <v>522</v>
      </c>
      <c r="I24" s="318">
        <v>0.5</v>
      </c>
      <c r="J24" s="318" t="s">
        <v>39</v>
      </c>
      <c r="K24" s="318" t="s">
        <v>106</v>
      </c>
      <c r="L24" s="380">
        <v>0.25</v>
      </c>
      <c r="M24" s="253">
        <f t="shared" si="0"/>
        <v>0</v>
      </c>
      <c r="N24" s="394">
        <f t="shared" si="1"/>
        <v>0</v>
      </c>
      <c r="O24" s="380">
        <v>0.25</v>
      </c>
      <c r="P24" s="253">
        <f>IF(M24="Cantidad",AJ24,IF(ISERROR(AJ24/AK24),0,AJ24/AK24))</f>
        <v>0</v>
      </c>
      <c r="Q24" s="394">
        <f>IF(ISERROR(P24/O24),0,(P24/O24))</f>
        <v>0</v>
      </c>
      <c r="R24" s="380">
        <v>0.25</v>
      </c>
      <c r="S24" s="253">
        <f t="shared" si="2"/>
        <v>0</v>
      </c>
      <c r="T24" s="394">
        <f t="shared" si="3"/>
        <v>0</v>
      </c>
      <c r="U24" s="380">
        <v>1</v>
      </c>
      <c r="V24" s="253">
        <f t="shared" si="4"/>
        <v>0</v>
      </c>
      <c r="W24" s="394">
        <f t="shared" si="5"/>
        <v>0</v>
      </c>
      <c r="X24" s="380">
        <f>IF(K24="SUMA",(L24+O24+R24+U24),(L24))</f>
        <v>0.25</v>
      </c>
      <c r="Y24" s="253">
        <f t="shared" si="6"/>
        <v>0</v>
      </c>
      <c r="Z24" s="394">
        <f t="shared" si="7"/>
        <v>0</v>
      </c>
      <c r="AA24" s="395">
        <f t="shared" si="8"/>
        <v>0</v>
      </c>
      <c r="AB24" s="319" t="s">
        <v>440</v>
      </c>
      <c r="AC24" s="252" t="s">
        <v>448</v>
      </c>
      <c r="AD24" s="252" t="s">
        <v>449</v>
      </c>
      <c r="AE24" s="319" t="s">
        <v>43</v>
      </c>
      <c r="AF24" s="397" t="s">
        <v>322</v>
      </c>
      <c r="AG24" s="317"/>
      <c r="AH24" s="276"/>
      <c r="AI24" s="278"/>
      <c r="AJ24" s="248"/>
      <c r="AK24" s="249"/>
      <c r="AL24" s="250"/>
      <c r="AM24" s="248"/>
      <c r="AN24" s="249"/>
      <c r="AO24" s="251"/>
      <c r="AP24" s="248"/>
      <c r="AQ24" s="249"/>
      <c r="AR24" s="251"/>
    </row>
    <row r="25" spans="2:44" s="237" customFormat="1" ht="129.75" customHeight="1" thickBot="1" x14ac:dyDescent="0.3">
      <c r="B25" s="1446"/>
      <c r="C25" s="1447"/>
      <c r="D25" s="1448"/>
      <c r="E25" s="1454"/>
      <c r="F25" s="252" t="s">
        <v>280</v>
      </c>
      <c r="G25" s="253" t="s">
        <v>532</v>
      </c>
      <c r="H25" s="253">
        <v>522</v>
      </c>
      <c r="I25" s="318">
        <v>0.5</v>
      </c>
      <c r="J25" s="318" t="s">
        <v>39</v>
      </c>
      <c r="K25" s="318" t="s">
        <v>106</v>
      </c>
      <c r="L25" s="380">
        <v>0.25</v>
      </c>
      <c r="M25" s="253">
        <f t="shared" si="0"/>
        <v>0</v>
      </c>
      <c r="N25" s="394">
        <f t="shared" si="1"/>
        <v>0</v>
      </c>
      <c r="O25" s="318">
        <v>0.25</v>
      </c>
      <c r="P25" s="253">
        <f>IF(M25="Cantidad",AJ25,IF(ISERROR(AJ25/AK25),0,AJ25/AK25))</f>
        <v>0</v>
      </c>
      <c r="Q25" s="394">
        <f>IF(ISERROR(P25/O25),0,(P25/O25))</f>
        <v>0</v>
      </c>
      <c r="R25" s="318">
        <v>0.25</v>
      </c>
      <c r="S25" s="253">
        <f t="shared" si="2"/>
        <v>0</v>
      </c>
      <c r="T25" s="394">
        <f t="shared" si="3"/>
        <v>0</v>
      </c>
      <c r="U25" s="318">
        <v>1</v>
      </c>
      <c r="V25" s="253">
        <f t="shared" si="4"/>
        <v>0</v>
      </c>
      <c r="W25" s="394">
        <f t="shared" si="5"/>
        <v>0</v>
      </c>
      <c r="X25" s="380">
        <f t="shared" si="9"/>
        <v>0.25</v>
      </c>
      <c r="Y25" s="253">
        <f t="shared" si="6"/>
        <v>0</v>
      </c>
      <c r="Z25" s="394">
        <f t="shared" si="7"/>
        <v>0</v>
      </c>
      <c r="AA25" s="395">
        <f t="shared" si="8"/>
        <v>0</v>
      </c>
      <c r="AB25" s="319" t="s">
        <v>450</v>
      </c>
      <c r="AC25" s="252" t="s">
        <v>451</v>
      </c>
      <c r="AD25" s="252" t="s">
        <v>434</v>
      </c>
      <c r="AE25" s="319" t="s">
        <v>43</v>
      </c>
      <c r="AF25" s="397" t="s">
        <v>362</v>
      </c>
      <c r="AG25" s="372"/>
      <c r="AH25" s="274"/>
      <c r="AI25" s="275"/>
      <c r="AJ25" s="279"/>
      <c r="AK25" s="280"/>
      <c r="AL25" s="281"/>
      <c r="AM25" s="279"/>
      <c r="AN25" s="280"/>
      <c r="AO25" s="282"/>
      <c r="AP25" s="279"/>
      <c r="AQ25" s="280"/>
      <c r="AR25" s="282"/>
    </row>
    <row r="26" spans="2:44" s="237" customFormat="1" ht="85.5" customHeight="1" x14ac:dyDescent="0.25">
      <c r="B26" s="1446" t="s">
        <v>595</v>
      </c>
      <c r="C26" s="1447">
        <v>4</v>
      </c>
      <c r="D26" s="1447" t="s">
        <v>250</v>
      </c>
      <c r="E26" s="1454">
        <v>0.15</v>
      </c>
      <c r="F26" s="252" t="s">
        <v>281</v>
      </c>
      <c r="G26" s="377" t="s">
        <v>293</v>
      </c>
      <c r="H26" s="253">
        <v>384</v>
      </c>
      <c r="I26" s="318"/>
      <c r="J26" s="318" t="s">
        <v>39</v>
      </c>
      <c r="K26" s="318" t="s">
        <v>106</v>
      </c>
      <c r="L26" s="253">
        <v>25</v>
      </c>
      <c r="M26" s="253">
        <f t="shared" si="0"/>
        <v>0</v>
      </c>
      <c r="N26" s="394">
        <f t="shared" si="1"/>
        <v>0</v>
      </c>
      <c r="O26" s="252">
        <v>25</v>
      </c>
      <c r="P26" s="253">
        <f t="shared" ref="P26" si="12">IF(M26="Cantidad",AJ26,IF(ISERROR(AJ26/AK26),0,AJ26/AK26))</f>
        <v>0</v>
      </c>
      <c r="Q26" s="394">
        <f t="shared" ref="Q26" si="13">IF(ISERROR(P26/O26),0,(P26/O26))</f>
        <v>0</v>
      </c>
      <c r="R26" s="252">
        <v>25</v>
      </c>
      <c r="S26" s="253">
        <f t="shared" si="2"/>
        <v>0</v>
      </c>
      <c r="T26" s="394">
        <f t="shared" si="3"/>
        <v>0</v>
      </c>
      <c r="U26" s="252">
        <v>25</v>
      </c>
      <c r="V26" s="253">
        <f t="shared" si="4"/>
        <v>0</v>
      </c>
      <c r="W26" s="394">
        <f t="shared" si="5"/>
        <v>0</v>
      </c>
      <c r="X26" s="378">
        <f t="shared" si="9"/>
        <v>25</v>
      </c>
      <c r="Y26" s="253">
        <f t="shared" si="6"/>
        <v>0</v>
      </c>
      <c r="Z26" s="394">
        <f t="shared" si="7"/>
        <v>0</v>
      </c>
      <c r="AA26" s="395">
        <f t="shared" si="8"/>
        <v>0</v>
      </c>
      <c r="AB26" s="319" t="s">
        <v>439</v>
      </c>
      <c r="AC26" s="252" t="s">
        <v>452</v>
      </c>
      <c r="AD26" s="252" t="s">
        <v>453</v>
      </c>
      <c r="AE26" s="319" t="s">
        <v>43</v>
      </c>
      <c r="AF26" s="397" t="s">
        <v>323</v>
      </c>
      <c r="AG26" s="357"/>
      <c r="AH26" s="286"/>
      <c r="AI26" s="286"/>
      <c r="AJ26" s="287"/>
      <c r="AK26" s="287"/>
      <c r="AL26" s="288"/>
      <c r="AM26" s="287"/>
      <c r="AN26" s="287"/>
      <c r="AO26" s="287"/>
      <c r="AP26" s="287"/>
      <c r="AQ26" s="287"/>
      <c r="AR26" s="289"/>
    </row>
    <row r="27" spans="2:44" s="237" customFormat="1" ht="85.5" customHeight="1" x14ac:dyDescent="0.25">
      <c r="B27" s="1446"/>
      <c r="C27" s="1447"/>
      <c r="D27" s="1447"/>
      <c r="E27" s="1454"/>
      <c r="F27" s="252" t="s">
        <v>282</v>
      </c>
      <c r="G27" s="390" t="s">
        <v>618</v>
      </c>
      <c r="H27" s="253"/>
      <c r="I27" s="318"/>
      <c r="J27" s="318"/>
      <c r="K27" s="318"/>
      <c r="L27" s="253"/>
      <c r="M27" s="253"/>
      <c r="N27" s="394"/>
      <c r="O27" s="252"/>
      <c r="P27" s="253"/>
      <c r="Q27" s="394"/>
      <c r="R27" s="252"/>
      <c r="S27" s="253"/>
      <c r="T27" s="394"/>
      <c r="U27" s="252"/>
      <c r="V27" s="253"/>
      <c r="W27" s="394"/>
      <c r="X27" s="378"/>
      <c r="Y27" s="253"/>
      <c r="Z27" s="394"/>
      <c r="AA27" s="395"/>
      <c r="AB27" s="319"/>
      <c r="AC27" s="252"/>
      <c r="AD27" s="252"/>
      <c r="AE27" s="319"/>
      <c r="AF27" s="397"/>
      <c r="AG27" s="391"/>
      <c r="AH27" s="381"/>
      <c r="AI27" s="381"/>
      <c r="AJ27" s="382"/>
      <c r="AK27" s="382"/>
      <c r="AL27" s="383"/>
      <c r="AM27" s="382"/>
      <c r="AN27" s="382"/>
      <c r="AO27" s="382"/>
      <c r="AP27" s="382"/>
      <c r="AQ27" s="382"/>
      <c r="AR27" s="371"/>
    </row>
    <row r="28" spans="2:44" s="237" customFormat="1" ht="85.5" customHeight="1" x14ac:dyDescent="0.25">
      <c r="B28" s="1446"/>
      <c r="C28" s="1447"/>
      <c r="D28" s="1447"/>
      <c r="E28" s="1454"/>
      <c r="F28" s="252" t="s">
        <v>615</v>
      </c>
      <c r="G28" s="390" t="s">
        <v>619</v>
      </c>
      <c r="H28" s="253"/>
      <c r="I28" s="318"/>
      <c r="J28" s="318"/>
      <c r="K28" s="318"/>
      <c r="L28" s="253"/>
      <c r="M28" s="253"/>
      <c r="N28" s="394"/>
      <c r="O28" s="252"/>
      <c r="P28" s="253"/>
      <c r="Q28" s="394"/>
      <c r="R28" s="252"/>
      <c r="S28" s="253"/>
      <c r="T28" s="394"/>
      <c r="U28" s="252"/>
      <c r="V28" s="253"/>
      <c r="W28" s="394"/>
      <c r="X28" s="378"/>
      <c r="Y28" s="253"/>
      <c r="Z28" s="394"/>
      <c r="AA28" s="395"/>
      <c r="AB28" s="319"/>
      <c r="AC28" s="252"/>
      <c r="AD28" s="252"/>
      <c r="AE28" s="319"/>
      <c r="AF28" s="397"/>
      <c r="AG28" s="391"/>
      <c r="AH28" s="381"/>
      <c r="AI28" s="381"/>
      <c r="AJ28" s="382"/>
      <c r="AK28" s="382"/>
      <c r="AL28" s="383"/>
      <c r="AM28" s="382"/>
      <c r="AN28" s="382"/>
      <c r="AO28" s="382"/>
      <c r="AP28" s="382"/>
      <c r="AQ28" s="382"/>
      <c r="AR28" s="371"/>
    </row>
    <row r="29" spans="2:44" s="237" customFormat="1" ht="85.5" customHeight="1" x14ac:dyDescent="0.25">
      <c r="B29" s="1446"/>
      <c r="C29" s="1447"/>
      <c r="D29" s="1447"/>
      <c r="E29" s="1454"/>
      <c r="F29" s="252" t="s">
        <v>614</v>
      </c>
      <c r="G29" s="390" t="s">
        <v>620</v>
      </c>
      <c r="H29" s="253"/>
      <c r="I29" s="318"/>
      <c r="J29" s="318"/>
      <c r="K29" s="318"/>
      <c r="L29" s="253"/>
      <c r="M29" s="253"/>
      <c r="N29" s="394"/>
      <c r="O29" s="252"/>
      <c r="P29" s="253"/>
      <c r="Q29" s="394"/>
      <c r="R29" s="252"/>
      <c r="S29" s="253"/>
      <c r="T29" s="394"/>
      <c r="U29" s="252"/>
      <c r="V29" s="253"/>
      <c r="W29" s="394"/>
      <c r="X29" s="378"/>
      <c r="Y29" s="253"/>
      <c r="Z29" s="394"/>
      <c r="AA29" s="395"/>
      <c r="AB29" s="319"/>
      <c r="AC29" s="252"/>
      <c r="AD29" s="252"/>
      <c r="AE29" s="319"/>
      <c r="AF29" s="397"/>
      <c r="AG29" s="391"/>
      <c r="AH29" s="381"/>
      <c r="AI29" s="381"/>
      <c r="AJ29" s="382"/>
      <c r="AK29" s="382"/>
      <c r="AL29" s="383"/>
      <c r="AM29" s="382"/>
      <c r="AN29" s="382"/>
      <c r="AO29" s="382"/>
      <c r="AP29" s="382"/>
      <c r="AQ29" s="382"/>
      <c r="AR29" s="371"/>
    </row>
    <row r="30" spans="2:44" s="237" customFormat="1" ht="85.5" customHeight="1" x14ac:dyDescent="0.25">
      <c r="B30" s="1446"/>
      <c r="C30" s="1447"/>
      <c r="D30" s="1447"/>
      <c r="E30" s="1454"/>
      <c r="F30" s="252" t="s">
        <v>616</v>
      </c>
      <c r="G30" s="390" t="s">
        <v>602</v>
      </c>
      <c r="H30" s="253"/>
      <c r="I30" s="318"/>
      <c r="J30" s="318"/>
      <c r="K30" s="318"/>
      <c r="L30" s="253"/>
      <c r="M30" s="253"/>
      <c r="N30" s="394"/>
      <c r="O30" s="252"/>
      <c r="P30" s="253"/>
      <c r="Q30" s="394"/>
      <c r="R30" s="252"/>
      <c r="S30" s="253"/>
      <c r="T30" s="394"/>
      <c r="U30" s="252"/>
      <c r="V30" s="253"/>
      <c r="W30" s="394"/>
      <c r="X30" s="378"/>
      <c r="Y30" s="253"/>
      <c r="Z30" s="394"/>
      <c r="AA30" s="395"/>
      <c r="AB30" s="319"/>
      <c r="AC30" s="252"/>
      <c r="AD30" s="252"/>
      <c r="AE30" s="319"/>
      <c r="AF30" s="397"/>
      <c r="AG30" s="391"/>
      <c r="AH30" s="381"/>
      <c r="AI30" s="381"/>
      <c r="AJ30" s="382"/>
      <c r="AK30" s="382"/>
      <c r="AL30" s="383"/>
      <c r="AM30" s="382"/>
      <c r="AN30" s="382"/>
      <c r="AO30" s="382"/>
      <c r="AP30" s="382"/>
      <c r="AQ30" s="382"/>
      <c r="AR30" s="371"/>
    </row>
    <row r="31" spans="2:44" s="237" customFormat="1" ht="85.5" customHeight="1" x14ac:dyDescent="0.25">
      <c r="B31" s="1446"/>
      <c r="C31" s="1447"/>
      <c r="D31" s="1447"/>
      <c r="E31" s="1454"/>
      <c r="F31" s="252" t="s">
        <v>617</v>
      </c>
      <c r="G31" s="390" t="s">
        <v>603</v>
      </c>
      <c r="H31" s="253"/>
      <c r="I31" s="318"/>
      <c r="J31" s="318"/>
      <c r="K31" s="318"/>
      <c r="L31" s="253"/>
      <c r="M31" s="253"/>
      <c r="N31" s="394"/>
      <c r="O31" s="252"/>
      <c r="P31" s="253"/>
      <c r="Q31" s="394"/>
      <c r="R31" s="252"/>
      <c r="S31" s="253"/>
      <c r="T31" s="394"/>
      <c r="U31" s="252"/>
      <c r="V31" s="253"/>
      <c r="W31" s="394"/>
      <c r="X31" s="378"/>
      <c r="Y31" s="253"/>
      <c r="Z31" s="394"/>
      <c r="AA31" s="395"/>
      <c r="AB31" s="319"/>
      <c r="AC31" s="252"/>
      <c r="AD31" s="252"/>
      <c r="AE31" s="319"/>
      <c r="AF31" s="397"/>
      <c r="AG31" s="391"/>
      <c r="AH31" s="381"/>
      <c r="AI31" s="381"/>
      <c r="AJ31" s="382"/>
      <c r="AK31" s="382"/>
      <c r="AL31" s="383"/>
      <c r="AM31" s="382"/>
      <c r="AN31" s="382"/>
      <c r="AO31" s="382"/>
      <c r="AP31" s="382"/>
      <c r="AQ31" s="382"/>
      <c r="AR31" s="371"/>
    </row>
    <row r="32" spans="2:44" s="237" customFormat="1" ht="99" customHeight="1" thickBot="1" x14ac:dyDescent="0.3">
      <c r="B32" s="1446"/>
      <c r="C32" s="1447"/>
      <c r="D32" s="1447"/>
      <c r="E32" s="1454"/>
      <c r="F32" s="252" t="s">
        <v>281</v>
      </c>
      <c r="G32" s="377" t="s">
        <v>294</v>
      </c>
      <c r="H32" s="377">
        <v>6</v>
      </c>
      <c r="I32" s="318"/>
      <c r="J32" s="318" t="s">
        <v>39</v>
      </c>
      <c r="K32" s="318" t="s">
        <v>106</v>
      </c>
      <c r="L32" s="253">
        <v>10</v>
      </c>
      <c r="M32" s="253">
        <f t="shared" ref="M32" si="14">IF(J32="Cantidad",AG32,IF(ISERROR(AG32/AH32),0,AG32/AH32))</f>
        <v>0</v>
      </c>
      <c r="N32" s="394">
        <f t="shared" ref="N32" si="15">IF(ISERROR(M32/L32),0,(M32/L32))</f>
        <v>0</v>
      </c>
      <c r="O32" s="252">
        <v>20</v>
      </c>
      <c r="P32" s="253">
        <f t="shared" ref="P32" si="16">IF(M32="Cantidad",AJ32,IF(ISERROR(AJ32/AK32),0,AJ32/AK32))</f>
        <v>0</v>
      </c>
      <c r="Q32" s="394">
        <f t="shared" ref="Q32" si="17">IF(ISERROR(P32/O32),0,(P32/O32))</f>
        <v>0</v>
      </c>
      <c r="R32" s="252">
        <v>30</v>
      </c>
      <c r="S32" s="253">
        <f t="shared" ref="S32" si="18">IF(J32="Cantidad",AM32,IF(ISERROR(AM32/AN32),0,AM32/AN32))</f>
        <v>0</v>
      </c>
      <c r="T32" s="394">
        <f t="shared" ref="T32" si="19">IF(ISERROR(S32/R32),0,(S32/R32))</f>
        <v>0</v>
      </c>
      <c r="U32" s="252">
        <v>40</v>
      </c>
      <c r="V32" s="253">
        <f t="shared" ref="V32" si="20">IF(J32="Cantidad",AP32,IF(ISERROR(AP32/AQ32),0,AP32/AQ32))</f>
        <v>0</v>
      </c>
      <c r="W32" s="394">
        <f t="shared" ref="W32" si="21">IF(ISERROR(V32/U32),0,(V32/U32))</f>
        <v>0</v>
      </c>
      <c r="X32" s="378">
        <f t="shared" ref="X32" si="22">IF(K32="SUMA",(L32+O32+R32+U32),(L32))</f>
        <v>10</v>
      </c>
      <c r="Y32" s="253">
        <f t="shared" ref="Y32" si="23">IF(ISERROR(AVERAGE(M32,P32,S32,V32)),0,IF(K32="Suma",(M32+P32+S32+V32),AVERAGE(M32,P32,S32,V32)))</f>
        <v>0</v>
      </c>
      <c r="Z32" s="394">
        <f t="shared" ref="Z32" si="24">IF(ISERROR(Y32/X32),0,(Y32/X32))</f>
        <v>0</v>
      </c>
      <c r="AA32" s="395">
        <f t="shared" ref="AA32" si="25">+Z32*I32</f>
        <v>0</v>
      </c>
      <c r="AB32" s="319" t="s">
        <v>438</v>
      </c>
      <c r="AC32" s="252" t="s">
        <v>318</v>
      </c>
      <c r="AD32" s="252" t="s">
        <v>454</v>
      </c>
      <c r="AE32" s="319" t="s">
        <v>43</v>
      </c>
      <c r="AF32" s="397" t="s">
        <v>324</v>
      </c>
      <c r="AG32" s="358"/>
      <c r="AH32" s="268"/>
      <c r="AI32" s="268"/>
      <c r="AJ32" s="271"/>
      <c r="AK32" s="271"/>
      <c r="AL32" s="294"/>
      <c r="AM32" s="271"/>
      <c r="AN32" s="271"/>
      <c r="AO32" s="271"/>
      <c r="AP32" s="271"/>
      <c r="AQ32" s="271"/>
      <c r="AR32" s="273"/>
    </row>
    <row r="33" spans="2:44" s="237" customFormat="1" ht="99" customHeight="1" thickBot="1" x14ac:dyDescent="0.3">
      <c r="B33" s="1446" t="s">
        <v>598</v>
      </c>
      <c r="C33" s="1447">
        <v>5</v>
      </c>
      <c r="D33" s="1447" t="s">
        <v>625</v>
      </c>
      <c r="E33" s="1454">
        <v>0.15</v>
      </c>
      <c r="F33" s="252" t="s">
        <v>559</v>
      </c>
      <c r="G33" s="390" t="s">
        <v>605</v>
      </c>
      <c r="H33" s="377"/>
      <c r="I33" s="318"/>
      <c r="J33" s="318"/>
      <c r="K33" s="318"/>
      <c r="L33" s="253"/>
      <c r="M33" s="253"/>
      <c r="N33" s="394"/>
      <c r="O33" s="252"/>
      <c r="P33" s="253"/>
      <c r="Q33" s="394"/>
      <c r="R33" s="252"/>
      <c r="S33" s="253"/>
      <c r="T33" s="394"/>
      <c r="U33" s="252"/>
      <c r="V33" s="253"/>
      <c r="W33" s="394"/>
      <c r="X33" s="378"/>
      <c r="Y33" s="253"/>
      <c r="Z33" s="394"/>
      <c r="AA33" s="395"/>
      <c r="AB33" s="319"/>
      <c r="AC33" s="252"/>
      <c r="AD33" s="252"/>
      <c r="AE33" s="319"/>
      <c r="AF33" s="397"/>
      <c r="AG33" s="385"/>
      <c r="AH33" s="295"/>
      <c r="AI33" s="386"/>
      <c r="AJ33" s="387"/>
      <c r="AK33" s="298"/>
      <c r="AL33" s="388"/>
      <c r="AM33" s="387"/>
      <c r="AN33" s="298"/>
      <c r="AO33" s="389"/>
      <c r="AP33" s="387"/>
      <c r="AQ33" s="298"/>
      <c r="AR33" s="300"/>
    </row>
    <row r="34" spans="2:44" s="237" customFormat="1" ht="99" customHeight="1" thickBot="1" x14ac:dyDescent="0.3">
      <c r="B34" s="1446"/>
      <c r="C34" s="1447"/>
      <c r="D34" s="1447"/>
      <c r="E34" s="1454"/>
      <c r="F34" s="252" t="s">
        <v>621</v>
      </c>
      <c r="G34" s="390" t="s">
        <v>606</v>
      </c>
      <c r="H34" s="377"/>
      <c r="I34" s="318"/>
      <c r="J34" s="318"/>
      <c r="K34" s="318"/>
      <c r="L34" s="253"/>
      <c r="M34" s="253"/>
      <c r="N34" s="394"/>
      <c r="O34" s="252"/>
      <c r="P34" s="253"/>
      <c r="Q34" s="394"/>
      <c r="R34" s="252"/>
      <c r="S34" s="253"/>
      <c r="T34" s="394"/>
      <c r="U34" s="252"/>
      <c r="V34" s="253"/>
      <c r="W34" s="394"/>
      <c r="X34" s="378"/>
      <c r="Y34" s="253"/>
      <c r="Z34" s="394"/>
      <c r="AA34" s="395"/>
      <c r="AB34" s="319"/>
      <c r="AC34" s="252"/>
      <c r="AD34" s="252"/>
      <c r="AE34" s="319"/>
      <c r="AF34" s="397"/>
      <c r="AG34" s="385"/>
      <c r="AH34" s="295"/>
      <c r="AI34" s="386"/>
      <c r="AJ34" s="387"/>
      <c r="AK34" s="298"/>
      <c r="AL34" s="388"/>
      <c r="AM34" s="387"/>
      <c r="AN34" s="298"/>
      <c r="AO34" s="389"/>
      <c r="AP34" s="387"/>
      <c r="AQ34" s="298"/>
      <c r="AR34" s="300"/>
    </row>
    <row r="35" spans="2:44" s="237" customFormat="1" ht="99" customHeight="1" thickBot="1" x14ac:dyDescent="0.3">
      <c r="B35" s="1446"/>
      <c r="C35" s="1447"/>
      <c r="D35" s="1447"/>
      <c r="E35" s="1454"/>
      <c r="F35" s="252" t="s">
        <v>622</v>
      </c>
      <c r="G35" s="390" t="s">
        <v>607</v>
      </c>
      <c r="H35" s="377"/>
      <c r="I35" s="318"/>
      <c r="J35" s="318"/>
      <c r="K35" s="318"/>
      <c r="L35" s="253"/>
      <c r="M35" s="253"/>
      <c r="N35" s="394"/>
      <c r="O35" s="252"/>
      <c r="P35" s="253"/>
      <c r="Q35" s="394"/>
      <c r="R35" s="252"/>
      <c r="S35" s="253"/>
      <c r="T35" s="394"/>
      <c r="U35" s="252"/>
      <c r="V35" s="253"/>
      <c r="W35" s="394"/>
      <c r="X35" s="378"/>
      <c r="Y35" s="253"/>
      <c r="Z35" s="394"/>
      <c r="AA35" s="395"/>
      <c r="AB35" s="319"/>
      <c r="AC35" s="252"/>
      <c r="AD35" s="252"/>
      <c r="AE35" s="319"/>
      <c r="AF35" s="397"/>
      <c r="AG35" s="385"/>
      <c r="AH35" s="295"/>
      <c r="AI35" s="386"/>
      <c r="AJ35" s="387"/>
      <c r="AK35" s="298"/>
      <c r="AL35" s="388"/>
      <c r="AM35" s="387"/>
      <c r="AN35" s="298"/>
      <c r="AO35" s="389"/>
      <c r="AP35" s="387"/>
      <c r="AQ35" s="298"/>
      <c r="AR35" s="300"/>
    </row>
    <row r="36" spans="2:44" s="237" customFormat="1" ht="162.75" customHeight="1" thickBot="1" x14ac:dyDescent="0.3">
      <c r="B36" s="1446"/>
      <c r="C36" s="1447"/>
      <c r="D36" s="1447"/>
      <c r="E36" s="1454"/>
      <c r="F36" s="252" t="s">
        <v>623</v>
      </c>
      <c r="G36" s="253" t="s">
        <v>402</v>
      </c>
      <c r="H36" s="253">
        <v>5387</v>
      </c>
      <c r="I36" s="318">
        <v>1</v>
      </c>
      <c r="J36" s="318" t="s">
        <v>39</v>
      </c>
      <c r="K36" s="318" t="s">
        <v>106</v>
      </c>
      <c r="L36" s="318">
        <v>1</v>
      </c>
      <c r="M36" s="253"/>
      <c r="N36" s="394">
        <f t="shared" ref="N36" si="26">IF(ISERROR(M36/L36),0,(M36/L36))</f>
        <v>0</v>
      </c>
      <c r="O36" s="252">
        <v>0.25</v>
      </c>
      <c r="P36" s="380"/>
      <c r="Q36" s="394">
        <f t="shared" ref="Q36" si="27">IF(ISERROR(P36/O36),0,(P36/O36))</f>
        <v>0</v>
      </c>
      <c r="R36" s="380"/>
      <c r="S36" s="253">
        <f t="shared" ref="S36" si="28">IF(J36="Cantidad",AM36,IF(ISERROR(AM36/AN36),0,AM36/AN36))</f>
        <v>0</v>
      </c>
      <c r="T36" s="394">
        <f t="shared" ref="T36" si="29">IF(ISERROR(S36/R36),0,(S36/R36))</f>
        <v>0</v>
      </c>
      <c r="U36" s="380"/>
      <c r="V36" s="253">
        <f t="shared" ref="V36" si="30">IF(J36="Cantidad",AP36,IF(ISERROR(AP36/AQ36),0,AP36/AQ36))</f>
        <v>0</v>
      </c>
      <c r="W36" s="394">
        <f t="shared" ref="W36" si="31">IF(ISERROR(V36/U36),0,(V36/U36))</f>
        <v>0</v>
      </c>
      <c r="X36" s="380"/>
      <c r="Y36" s="253">
        <f t="shared" ref="Y36" si="32">IF(ISERROR(AVERAGE(M36,P36,S36,V36)),0,IF(K36="Suma",(M36+P36+S36+V36),AVERAGE(M36,P36,S36,V36)))</f>
        <v>0</v>
      </c>
      <c r="Z36" s="394">
        <f t="shared" ref="Z36" si="33">IF(ISERROR(Y36/X36),0,(Y36/X36))</f>
        <v>0</v>
      </c>
      <c r="AA36" s="395">
        <f t="shared" ref="AA36" si="34">+Z36*I36</f>
        <v>0</v>
      </c>
      <c r="AB36" s="319" t="s">
        <v>437</v>
      </c>
      <c r="AC36" s="252" t="s">
        <v>455</v>
      </c>
      <c r="AD36" s="252" t="s">
        <v>319</v>
      </c>
      <c r="AE36" s="319" t="s">
        <v>103</v>
      </c>
      <c r="AF36" s="397" t="s">
        <v>325</v>
      </c>
      <c r="AG36" s="385"/>
      <c r="AH36" s="295"/>
      <c r="AI36" s="296"/>
      <c r="AJ36" s="297"/>
      <c r="AK36" s="298"/>
      <c r="AL36" s="299"/>
      <c r="AM36" s="297"/>
      <c r="AN36" s="298"/>
      <c r="AO36" s="300"/>
      <c r="AP36" s="297"/>
      <c r="AQ36" s="298"/>
      <c r="AR36" s="300"/>
    </row>
    <row r="37" spans="2:44" s="237" customFormat="1" ht="162.75" customHeight="1" thickBot="1" x14ac:dyDescent="0.3">
      <c r="B37" s="257" t="s">
        <v>598</v>
      </c>
      <c r="C37" s="252">
        <v>6</v>
      </c>
      <c r="D37" s="398" t="s">
        <v>624</v>
      </c>
      <c r="E37" s="380">
        <v>0.12</v>
      </c>
      <c r="F37" s="252" t="s">
        <v>283</v>
      </c>
      <c r="G37" s="390" t="s">
        <v>608</v>
      </c>
      <c r="H37" s="253"/>
      <c r="I37" s="318"/>
      <c r="J37" s="318"/>
      <c r="K37" s="318"/>
      <c r="L37" s="318"/>
      <c r="M37" s="253"/>
      <c r="N37" s="394"/>
      <c r="O37" s="252"/>
      <c r="P37" s="380"/>
      <c r="Q37" s="394"/>
      <c r="R37" s="380"/>
      <c r="S37" s="253"/>
      <c r="T37" s="394"/>
      <c r="U37" s="380"/>
      <c r="V37" s="253"/>
      <c r="W37" s="394"/>
      <c r="X37" s="380"/>
      <c r="Y37" s="253"/>
      <c r="Z37" s="394"/>
      <c r="AA37" s="395"/>
      <c r="AB37" s="319"/>
      <c r="AC37" s="252"/>
      <c r="AD37" s="252"/>
      <c r="AE37" s="319"/>
      <c r="AF37" s="397"/>
      <c r="AG37" s="230"/>
      <c r="AH37" s="230"/>
      <c r="AI37" s="230"/>
      <c r="AL37" s="384"/>
    </row>
    <row r="38" spans="2:44" s="237" customFormat="1" ht="86.25" x14ac:dyDescent="0.25">
      <c r="B38" s="1446" t="s">
        <v>593</v>
      </c>
      <c r="C38" s="1447">
        <v>7</v>
      </c>
      <c r="D38" s="1447" t="s">
        <v>302</v>
      </c>
      <c r="E38" s="1454">
        <v>0.2</v>
      </c>
      <c r="F38" s="342" t="s">
        <v>560</v>
      </c>
      <c r="G38" s="253" t="s">
        <v>463</v>
      </c>
      <c r="H38" s="360">
        <v>4237</v>
      </c>
      <c r="I38" s="318">
        <v>0.2</v>
      </c>
      <c r="J38" s="318" t="s">
        <v>42</v>
      </c>
      <c r="K38" s="318" t="s">
        <v>40</v>
      </c>
      <c r="L38" s="252"/>
      <c r="M38" s="253">
        <f>IF(J38="Cantidad",AG38,IF(ISERROR(AG38/AH38),0,AG38/AH38))</f>
        <v>0</v>
      </c>
      <c r="N38" s="394">
        <f>IF(ISERROR(M38/L38),0,(M38/L38))</f>
        <v>0</v>
      </c>
      <c r="O38" s="252"/>
      <c r="P38" s="253">
        <f>IF(M38="Cantidad",AJ38,IF(ISERROR(AJ38/AK38),0,AJ38/AK38))</f>
        <v>0</v>
      </c>
      <c r="Q38" s="394">
        <f>IF(ISERROR(P38/O38),0,(P38/O38))</f>
        <v>0</v>
      </c>
      <c r="R38" s="252"/>
      <c r="S38" s="253">
        <f>IF(J38="Cantidad",AM38,IF(ISERROR(AM38/AN38),0,AM38/AN38))</f>
        <v>0</v>
      </c>
      <c r="T38" s="394">
        <f>IF(ISERROR(S38/R38),0,(S38/R38))</f>
        <v>0</v>
      </c>
      <c r="U38" s="252"/>
      <c r="V38" s="253">
        <f>IF(J38="Cantidad",AP38,IF(ISERROR(AP38/AQ38),0,AP38/AQ38))</f>
        <v>0</v>
      </c>
      <c r="W38" s="394">
        <f>IF(ISERROR(V38/U38),0,(V38/U38))</f>
        <v>0</v>
      </c>
      <c r="X38" s="378">
        <f>IF(K38="SUMA",(L38+O38+R38+U38),(L38))</f>
        <v>0</v>
      </c>
      <c r="Y38" s="253">
        <f>IF(ISERROR(AVERAGE(M38,P38,S38,V38)),0,IF(K38="Suma",(M38+P38+S38+V38),AVERAGE(M38,P38,S38,V38)))</f>
        <v>0</v>
      </c>
      <c r="Z38" s="394">
        <f>IF(ISERROR(Y38/X38),0,(Y38/X38))</f>
        <v>0</v>
      </c>
      <c r="AA38" s="395">
        <f>+Z38*I38</f>
        <v>0</v>
      </c>
      <c r="AB38" s="319" t="s">
        <v>326</v>
      </c>
      <c r="AC38" s="252" t="s">
        <v>388</v>
      </c>
      <c r="AD38" s="252" t="s">
        <v>435</v>
      </c>
      <c r="AE38" s="319" t="s">
        <v>43</v>
      </c>
      <c r="AF38" s="397" t="s">
        <v>389</v>
      </c>
      <c r="AG38" s="317"/>
      <c r="AH38" s="276"/>
      <c r="AI38" s="278"/>
      <c r="AJ38" s="339"/>
      <c r="AK38" s="340"/>
      <c r="AL38" s="341"/>
      <c r="AM38" s="339"/>
      <c r="AN38" s="340"/>
      <c r="AO38" s="289"/>
      <c r="AP38" s="339"/>
      <c r="AQ38" s="340"/>
      <c r="AR38" s="289"/>
    </row>
    <row r="39" spans="2:44" s="237" customFormat="1" ht="120.75" x14ac:dyDescent="0.25">
      <c r="B39" s="1446"/>
      <c r="C39" s="1447"/>
      <c r="D39" s="1447"/>
      <c r="E39" s="1454"/>
      <c r="F39" s="342" t="s">
        <v>626</v>
      </c>
      <c r="G39" s="253" t="s">
        <v>462</v>
      </c>
      <c r="H39" s="253">
        <v>279</v>
      </c>
      <c r="I39" s="318">
        <v>0.15</v>
      </c>
      <c r="J39" s="318" t="s">
        <v>42</v>
      </c>
      <c r="K39" s="318" t="s">
        <v>40</v>
      </c>
      <c r="L39" s="318"/>
      <c r="M39" s="253">
        <f>IF(J39="Cantidad",AG39,IF(ISERROR(AG39/AH39),0,AG39/AH39))</f>
        <v>0</v>
      </c>
      <c r="N39" s="394">
        <f>IF(ISERROR(M39/L39),0,(M39/L39))</f>
        <v>0</v>
      </c>
      <c r="O39" s="318"/>
      <c r="P39" s="253">
        <f>IF(M39="Cantidad",AJ39,IF(ISERROR(AJ39/AK39),0,AJ39/AK39))</f>
        <v>0</v>
      </c>
      <c r="Q39" s="394">
        <f>IF(ISERROR(P39/O39),0,(P39/O39))</f>
        <v>0</v>
      </c>
      <c r="R39" s="318"/>
      <c r="S39" s="253">
        <f>IF(J39="Cantidad",AM39,IF(ISERROR(AM39/AN39),0,AM39/AN39))</f>
        <v>0</v>
      </c>
      <c r="T39" s="394">
        <f>IF(ISERROR(S39/R39),0,(S39/R39))</f>
        <v>0</v>
      </c>
      <c r="U39" s="318"/>
      <c r="V39" s="253">
        <f>IF(J39="Cantidad",AP39,IF(ISERROR(AP39/AQ39),0,AP39/AQ39))</f>
        <v>0</v>
      </c>
      <c r="W39" s="394">
        <f>IF(ISERROR(V39/U39),0,(V39/U39))</f>
        <v>0</v>
      </c>
      <c r="X39" s="380">
        <f>IF(K39="SUMA",(L39+O39+R39+U39),(L39))</f>
        <v>0</v>
      </c>
      <c r="Y39" s="253">
        <f>IF(ISERROR(AVERAGE(M39,P39,S39,V39)),0,IF(K39="Suma",(M39+P39+S39+V39),AVERAGE(M39,P39,S39,V39)))</f>
        <v>0</v>
      </c>
      <c r="Z39" s="394">
        <f>IF(ISERROR(Y39/X39),0,(Y39/X39))</f>
        <v>0</v>
      </c>
      <c r="AA39" s="395">
        <f>+Z39*I39</f>
        <v>0</v>
      </c>
      <c r="AB39" s="319" t="s">
        <v>436</v>
      </c>
      <c r="AC39" s="252" t="s">
        <v>327</v>
      </c>
      <c r="AD39" s="252" t="s">
        <v>461</v>
      </c>
      <c r="AE39" s="319" t="s">
        <v>43</v>
      </c>
      <c r="AF39" s="397" t="s">
        <v>389</v>
      </c>
      <c r="AG39" s="373"/>
      <c r="AH39" s="258"/>
      <c r="AI39" s="259"/>
      <c r="AJ39" s="260"/>
      <c r="AK39" s="261"/>
      <c r="AL39" s="262"/>
      <c r="AM39" s="260"/>
      <c r="AN39" s="261"/>
      <c r="AO39" s="263"/>
      <c r="AP39" s="260"/>
      <c r="AQ39" s="261"/>
      <c r="AR39" s="263"/>
    </row>
    <row r="40" spans="2:44" s="237" customFormat="1" ht="103.5" x14ac:dyDescent="0.25">
      <c r="B40" s="1446"/>
      <c r="C40" s="1447"/>
      <c r="D40" s="1447"/>
      <c r="E40" s="1454"/>
      <c r="F40" s="342" t="s">
        <v>627</v>
      </c>
      <c r="G40" s="253" t="s">
        <v>464</v>
      </c>
      <c r="H40" s="253">
        <v>823</v>
      </c>
      <c r="I40" s="318">
        <v>0.15</v>
      </c>
      <c r="J40" s="318" t="s">
        <v>42</v>
      </c>
      <c r="K40" s="318" t="s">
        <v>40</v>
      </c>
      <c r="L40" s="253"/>
      <c r="M40" s="253">
        <f>IF(J40="Cantidad",AG40,IF(ISERROR(AG40/AH40),0,AG40/AH40))</f>
        <v>0</v>
      </c>
      <c r="N40" s="394">
        <f>IF(ISERROR(M40/L40),0,(M40/L40))</f>
        <v>0</v>
      </c>
      <c r="O40" s="252"/>
      <c r="P40" s="253">
        <f t="shared" ref="P40:P69" si="35">IF(M40="Cantidad",AJ40,IF(ISERROR(AJ40/AK40),0,AJ40/AK40))</f>
        <v>0</v>
      </c>
      <c r="Q40" s="394">
        <f>IF(ISERROR(P40/O40),0,(P40/O40))</f>
        <v>0</v>
      </c>
      <c r="R40" s="252"/>
      <c r="S40" s="253">
        <f>IF(J40="Cantidad",AM40,IF(ISERROR(AM40/AN40),0,AM40/AN40))</f>
        <v>0</v>
      </c>
      <c r="T40" s="394">
        <f>IF(ISERROR(S40/R40),0,(S40/R40))</f>
        <v>0</v>
      </c>
      <c r="U40" s="252"/>
      <c r="V40" s="253">
        <f>IF(J40="Cantidad",AP40,IF(ISERROR(AP40/AQ40),0,AP40/AQ40))</f>
        <v>0</v>
      </c>
      <c r="W40" s="394">
        <f>IF(ISERROR(V40/U40),0,(V40/U40))</f>
        <v>0</v>
      </c>
      <c r="X40" s="378">
        <f>IF(K40="SUMA",(L40+O40+R40+U40),(L40))</f>
        <v>0</v>
      </c>
      <c r="Y40" s="253">
        <f>IF(ISERROR(AVERAGE(M40,P40,S40,V40)),0,IF(K40="Suma",(M40+P40+S40+V40),AVERAGE(M40,P40,S40,V40)))</f>
        <v>0</v>
      </c>
      <c r="Z40" s="394">
        <f>IF(ISERROR(Y40/X40),0,(Y40/X40))</f>
        <v>0</v>
      </c>
      <c r="AA40" s="395">
        <f>+Z40*I40</f>
        <v>0</v>
      </c>
      <c r="AB40" s="319" t="s">
        <v>243</v>
      </c>
      <c r="AC40" s="252" t="s">
        <v>465</v>
      </c>
      <c r="AD40" s="252" t="s">
        <v>466</v>
      </c>
      <c r="AE40" s="319" t="s">
        <v>43</v>
      </c>
      <c r="AF40" s="397" t="s">
        <v>390</v>
      </c>
      <c r="AG40" s="373"/>
      <c r="AH40" s="258"/>
      <c r="AI40" s="259"/>
      <c r="AJ40" s="260"/>
      <c r="AK40" s="261"/>
      <c r="AL40" s="264"/>
      <c r="AM40" s="260"/>
      <c r="AN40" s="261"/>
      <c r="AO40" s="263"/>
      <c r="AP40" s="260"/>
      <c r="AQ40" s="261"/>
      <c r="AR40" s="263"/>
    </row>
    <row r="41" spans="2:44" s="237" customFormat="1" ht="69" x14ac:dyDescent="0.25">
      <c r="B41" s="1446"/>
      <c r="C41" s="1447"/>
      <c r="D41" s="1447"/>
      <c r="E41" s="1454"/>
      <c r="F41" s="342" t="s">
        <v>628</v>
      </c>
      <c r="G41" s="253" t="s">
        <v>456</v>
      </c>
      <c r="H41" s="360">
        <v>737</v>
      </c>
      <c r="I41" s="318">
        <v>0.15</v>
      </c>
      <c r="J41" s="318" t="s">
        <v>42</v>
      </c>
      <c r="K41" s="318" t="s">
        <v>40</v>
      </c>
      <c r="L41" s="253"/>
      <c r="M41" s="253">
        <f t="shared" ref="M41:M69" si="36">IF(J41="Cantidad",AG41,IF(ISERROR(AG41/AH41),0,AG41/AH41))</f>
        <v>0</v>
      </c>
      <c r="N41" s="394">
        <f t="shared" ref="N41:N69" si="37">IF(ISERROR(M41/L41),0,(M41/L41))</f>
        <v>0</v>
      </c>
      <c r="O41" s="252"/>
      <c r="P41" s="253">
        <f t="shared" si="35"/>
        <v>0</v>
      </c>
      <c r="Q41" s="394">
        <f t="shared" ref="Q41:Q69" si="38">IF(ISERROR(P41/O41),0,(P41/O41))</f>
        <v>0</v>
      </c>
      <c r="R41" s="252"/>
      <c r="S41" s="253">
        <f t="shared" ref="S41:S69" si="39">IF(J41="Cantidad",AM41,IF(ISERROR(AM41/AN41),0,AM41/AN41))</f>
        <v>0</v>
      </c>
      <c r="T41" s="394">
        <f t="shared" ref="T41:T69" si="40">IF(ISERROR(S41/R41),0,(S41/R41))</f>
        <v>0</v>
      </c>
      <c r="U41" s="252"/>
      <c r="V41" s="253">
        <f t="shared" ref="V41:V69" si="41">IF(J41="Cantidad",AP41,IF(ISERROR(AP41/AQ41),0,AP41/AQ41))</f>
        <v>0</v>
      </c>
      <c r="W41" s="394">
        <f t="shared" ref="W41:W69" si="42">IF(ISERROR(V41/U41),0,(V41/U41))</f>
        <v>0</v>
      </c>
      <c r="X41" s="378">
        <f t="shared" ref="X41:X69" si="43">IF(K41="SUMA",(L41+O41+R41+U41),(L41))</f>
        <v>0</v>
      </c>
      <c r="Y41" s="253">
        <f t="shared" ref="Y41:Y78" si="44">IF(ISERROR(AVERAGE(M41,P41,S41,V41)),0,IF(K41="Suma",(M41+P41+S41+V41),AVERAGE(M41,P41,S41,V41)))</f>
        <v>0</v>
      </c>
      <c r="Z41" s="394">
        <f t="shared" ref="Z41:Z78" si="45">IF(ISERROR(Y41/X41),0,(Y41/X41))</f>
        <v>0</v>
      </c>
      <c r="AA41" s="395">
        <f t="shared" ref="AA41:AA78" si="46">+Z41*I41</f>
        <v>0</v>
      </c>
      <c r="AB41" s="319" t="s">
        <v>244</v>
      </c>
      <c r="AC41" s="252" t="s">
        <v>328</v>
      </c>
      <c r="AD41" s="252" t="s">
        <v>467</v>
      </c>
      <c r="AE41" s="319" t="s">
        <v>43</v>
      </c>
      <c r="AF41" s="397" t="s">
        <v>390</v>
      </c>
      <c r="AG41" s="372"/>
      <c r="AH41" s="274"/>
      <c r="AI41" s="275"/>
      <c r="AJ41" s="279"/>
      <c r="AK41" s="280"/>
      <c r="AL41" s="346"/>
      <c r="AM41" s="279"/>
      <c r="AN41" s="280"/>
      <c r="AO41" s="282"/>
      <c r="AP41" s="279"/>
      <c r="AQ41" s="280"/>
      <c r="AR41" s="282"/>
    </row>
    <row r="42" spans="2:44" s="237" customFormat="1" ht="86.25" x14ac:dyDescent="0.25">
      <c r="B42" s="1446"/>
      <c r="C42" s="1447"/>
      <c r="D42" s="1447"/>
      <c r="E42" s="1454"/>
      <c r="F42" s="342" t="s">
        <v>629</v>
      </c>
      <c r="G42" s="253" t="s">
        <v>457</v>
      </c>
      <c r="H42" s="253">
        <v>974</v>
      </c>
      <c r="I42" s="318">
        <v>0.1</v>
      </c>
      <c r="J42" s="318" t="s">
        <v>42</v>
      </c>
      <c r="K42" s="318" t="s">
        <v>40</v>
      </c>
      <c r="L42" s="253"/>
      <c r="M42" s="253">
        <f t="shared" si="36"/>
        <v>0</v>
      </c>
      <c r="N42" s="394">
        <f t="shared" si="37"/>
        <v>0</v>
      </c>
      <c r="O42" s="252"/>
      <c r="P42" s="253">
        <f t="shared" si="35"/>
        <v>0</v>
      </c>
      <c r="Q42" s="394">
        <f t="shared" si="38"/>
        <v>0</v>
      </c>
      <c r="R42" s="252"/>
      <c r="S42" s="253">
        <f t="shared" si="39"/>
        <v>0</v>
      </c>
      <c r="T42" s="394">
        <f t="shared" si="40"/>
        <v>0</v>
      </c>
      <c r="U42" s="252"/>
      <c r="V42" s="253">
        <f t="shared" si="41"/>
        <v>0</v>
      </c>
      <c r="W42" s="394">
        <f t="shared" si="42"/>
        <v>0</v>
      </c>
      <c r="X42" s="378">
        <f t="shared" si="43"/>
        <v>0</v>
      </c>
      <c r="Y42" s="253">
        <f t="shared" si="44"/>
        <v>0</v>
      </c>
      <c r="Z42" s="394">
        <f t="shared" si="45"/>
        <v>0</v>
      </c>
      <c r="AA42" s="395">
        <f t="shared" si="46"/>
        <v>0</v>
      </c>
      <c r="AB42" s="319" t="s">
        <v>245</v>
      </c>
      <c r="AC42" s="252" t="s">
        <v>468</v>
      </c>
      <c r="AD42" s="252" t="s">
        <v>469</v>
      </c>
      <c r="AE42" s="319" t="s">
        <v>43</v>
      </c>
      <c r="AF42" s="397" t="s">
        <v>391</v>
      </c>
      <c r="AG42" s="372"/>
      <c r="AH42" s="274"/>
      <c r="AI42" s="275"/>
      <c r="AJ42" s="279"/>
      <c r="AK42" s="280"/>
      <c r="AL42" s="346"/>
      <c r="AM42" s="279"/>
      <c r="AN42" s="280"/>
      <c r="AO42" s="282"/>
      <c r="AP42" s="279"/>
      <c r="AQ42" s="280"/>
      <c r="AR42" s="282"/>
    </row>
    <row r="43" spans="2:44" s="237" customFormat="1" ht="86.25" x14ac:dyDescent="0.25">
      <c r="B43" s="1446"/>
      <c r="C43" s="1447"/>
      <c r="D43" s="1447"/>
      <c r="E43" s="1454"/>
      <c r="F43" s="342" t="s">
        <v>630</v>
      </c>
      <c r="G43" s="253" t="s">
        <v>458</v>
      </c>
      <c r="H43" s="253">
        <v>60</v>
      </c>
      <c r="I43" s="318">
        <v>0.05</v>
      </c>
      <c r="J43" s="318" t="s">
        <v>42</v>
      </c>
      <c r="K43" s="318" t="s">
        <v>40</v>
      </c>
      <c r="L43" s="253"/>
      <c r="M43" s="253">
        <f t="shared" si="36"/>
        <v>0</v>
      </c>
      <c r="N43" s="394">
        <f t="shared" si="37"/>
        <v>0</v>
      </c>
      <c r="O43" s="252"/>
      <c r="P43" s="253">
        <f t="shared" si="35"/>
        <v>0</v>
      </c>
      <c r="Q43" s="394">
        <f t="shared" si="38"/>
        <v>0</v>
      </c>
      <c r="R43" s="252"/>
      <c r="S43" s="253">
        <f t="shared" si="39"/>
        <v>0</v>
      </c>
      <c r="T43" s="394">
        <f t="shared" si="40"/>
        <v>0</v>
      </c>
      <c r="U43" s="252"/>
      <c r="V43" s="253">
        <f t="shared" si="41"/>
        <v>0</v>
      </c>
      <c r="W43" s="394">
        <f t="shared" si="42"/>
        <v>0</v>
      </c>
      <c r="X43" s="378">
        <f t="shared" si="43"/>
        <v>0</v>
      </c>
      <c r="Y43" s="253">
        <f t="shared" si="44"/>
        <v>0</v>
      </c>
      <c r="Z43" s="394">
        <f t="shared" si="45"/>
        <v>0</v>
      </c>
      <c r="AA43" s="395">
        <f t="shared" si="46"/>
        <v>0</v>
      </c>
      <c r="AB43" s="319" t="s">
        <v>329</v>
      </c>
      <c r="AC43" s="252" t="s">
        <v>471</v>
      </c>
      <c r="AD43" s="252" t="s">
        <v>470</v>
      </c>
      <c r="AE43" s="319" t="s">
        <v>43</v>
      </c>
      <c r="AF43" s="397" t="s">
        <v>392</v>
      </c>
      <c r="AG43" s="372"/>
      <c r="AH43" s="274"/>
      <c r="AI43" s="275"/>
      <c r="AJ43" s="279"/>
      <c r="AK43" s="280"/>
      <c r="AL43" s="346"/>
      <c r="AM43" s="279"/>
      <c r="AN43" s="280"/>
      <c r="AO43" s="282"/>
      <c r="AP43" s="279"/>
      <c r="AQ43" s="280"/>
      <c r="AR43" s="282"/>
    </row>
    <row r="44" spans="2:44" s="237" customFormat="1" ht="87" thickBot="1" x14ac:dyDescent="0.3">
      <c r="B44" s="1446"/>
      <c r="C44" s="1447"/>
      <c r="D44" s="1447"/>
      <c r="E44" s="1454"/>
      <c r="F44" s="342" t="s">
        <v>630</v>
      </c>
      <c r="G44" s="253" t="s">
        <v>473</v>
      </c>
      <c r="H44" s="360">
        <v>13762</v>
      </c>
      <c r="I44" s="318">
        <v>0.2</v>
      </c>
      <c r="J44" s="318" t="s">
        <v>42</v>
      </c>
      <c r="K44" s="318" t="s">
        <v>40</v>
      </c>
      <c r="L44" s="253"/>
      <c r="M44" s="253">
        <f t="shared" si="36"/>
        <v>0</v>
      </c>
      <c r="N44" s="394">
        <f t="shared" si="37"/>
        <v>0</v>
      </c>
      <c r="O44" s="252"/>
      <c r="P44" s="253">
        <f t="shared" si="35"/>
        <v>0</v>
      </c>
      <c r="Q44" s="394">
        <f t="shared" si="38"/>
        <v>0</v>
      </c>
      <c r="R44" s="252"/>
      <c r="S44" s="253">
        <f t="shared" si="39"/>
        <v>0</v>
      </c>
      <c r="T44" s="394">
        <f t="shared" si="40"/>
        <v>0</v>
      </c>
      <c r="U44" s="252"/>
      <c r="V44" s="253">
        <f t="shared" si="41"/>
        <v>0</v>
      </c>
      <c r="W44" s="394">
        <f t="shared" si="42"/>
        <v>0</v>
      </c>
      <c r="X44" s="378">
        <f t="shared" si="43"/>
        <v>0</v>
      </c>
      <c r="Y44" s="253">
        <f t="shared" si="44"/>
        <v>0</v>
      </c>
      <c r="Z44" s="394">
        <f t="shared" si="45"/>
        <v>0</v>
      </c>
      <c r="AA44" s="395">
        <f t="shared" si="46"/>
        <v>0</v>
      </c>
      <c r="AB44" s="319" t="s">
        <v>246</v>
      </c>
      <c r="AC44" s="252" t="s">
        <v>330</v>
      </c>
      <c r="AD44" s="252" t="s">
        <v>472</v>
      </c>
      <c r="AE44" s="319" t="s">
        <v>43</v>
      </c>
      <c r="AF44" s="397" t="s">
        <v>393</v>
      </c>
      <c r="AG44" s="358"/>
      <c r="AH44" s="268"/>
      <c r="AI44" s="269"/>
      <c r="AJ44" s="270"/>
      <c r="AK44" s="271"/>
      <c r="AL44" s="347"/>
      <c r="AM44" s="270"/>
      <c r="AN44" s="271"/>
      <c r="AO44" s="273"/>
      <c r="AP44" s="270"/>
      <c r="AQ44" s="271"/>
      <c r="AR44" s="273"/>
    </row>
    <row r="45" spans="2:44" s="237" customFormat="1" ht="121.5" thickBot="1" x14ac:dyDescent="0.3">
      <c r="B45" s="344" t="s">
        <v>594</v>
      </c>
      <c r="C45" s="252">
        <v>8</v>
      </c>
      <c r="D45" s="252" t="s">
        <v>304</v>
      </c>
      <c r="E45" s="380">
        <v>0.16</v>
      </c>
      <c r="F45" s="342" t="s">
        <v>561</v>
      </c>
      <c r="G45" s="253" t="s">
        <v>474</v>
      </c>
      <c r="H45" s="253">
        <v>7</v>
      </c>
      <c r="I45" s="318">
        <v>1</v>
      </c>
      <c r="J45" s="318" t="s">
        <v>42</v>
      </c>
      <c r="K45" s="318" t="s">
        <v>40</v>
      </c>
      <c r="L45" s="253"/>
      <c r="M45" s="253">
        <f t="shared" si="36"/>
        <v>0</v>
      </c>
      <c r="N45" s="394">
        <f t="shared" si="37"/>
        <v>0</v>
      </c>
      <c r="O45" s="252"/>
      <c r="P45" s="253">
        <f t="shared" si="35"/>
        <v>0</v>
      </c>
      <c r="Q45" s="394">
        <f t="shared" si="38"/>
        <v>0</v>
      </c>
      <c r="R45" s="252"/>
      <c r="S45" s="253">
        <f t="shared" si="39"/>
        <v>0</v>
      </c>
      <c r="T45" s="394">
        <f t="shared" si="40"/>
        <v>0</v>
      </c>
      <c r="U45" s="252"/>
      <c r="V45" s="253">
        <f t="shared" si="41"/>
        <v>0</v>
      </c>
      <c r="W45" s="394">
        <f t="shared" si="42"/>
        <v>0</v>
      </c>
      <c r="X45" s="378">
        <f t="shared" si="43"/>
        <v>0</v>
      </c>
      <c r="Y45" s="253">
        <f t="shared" si="44"/>
        <v>0</v>
      </c>
      <c r="Z45" s="394">
        <f t="shared" si="45"/>
        <v>0</v>
      </c>
      <c r="AA45" s="395">
        <f t="shared" si="46"/>
        <v>0</v>
      </c>
      <c r="AB45" s="319" t="s">
        <v>331</v>
      </c>
      <c r="AC45" s="252" t="s">
        <v>475</v>
      </c>
      <c r="AD45" s="252" t="s">
        <v>476</v>
      </c>
      <c r="AE45" s="319" t="s">
        <v>43</v>
      </c>
      <c r="AF45" s="397" t="s">
        <v>394</v>
      </c>
      <c r="AG45" s="405"/>
      <c r="AH45" s="349"/>
      <c r="AI45" s="350"/>
      <c r="AJ45" s="351"/>
      <c r="AK45" s="352"/>
      <c r="AL45" s="353"/>
      <c r="AM45" s="351"/>
      <c r="AN45" s="352"/>
      <c r="AO45" s="354"/>
      <c r="AP45" s="351"/>
      <c r="AQ45" s="352"/>
      <c r="AR45" s="354"/>
    </row>
    <row r="46" spans="2:44" s="237" customFormat="1" ht="87" thickBot="1" x14ac:dyDescent="0.3">
      <c r="B46" s="344" t="s">
        <v>593</v>
      </c>
      <c r="C46" s="252">
        <v>9</v>
      </c>
      <c r="D46" s="252" t="s">
        <v>272</v>
      </c>
      <c r="E46" s="380">
        <v>0.16</v>
      </c>
      <c r="F46" s="342" t="s">
        <v>562</v>
      </c>
      <c r="G46" s="253" t="s">
        <v>477</v>
      </c>
      <c r="H46" s="360">
        <v>98519</v>
      </c>
      <c r="I46" s="318">
        <v>1</v>
      </c>
      <c r="J46" s="318" t="s">
        <v>42</v>
      </c>
      <c r="K46" s="318" t="s">
        <v>40</v>
      </c>
      <c r="L46" s="253"/>
      <c r="M46" s="253">
        <f t="shared" si="36"/>
        <v>0</v>
      </c>
      <c r="N46" s="394">
        <f t="shared" si="37"/>
        <v>0</v>
      </c>
      <c r="O46" s="252"/>
      <c r="P46" s="253">
        <f t="shared" si="35"/>
        <v>0</v>
      </c>
      <c r="Q46" s="394">
        <f t="shared" si="38"/>
        <v>0</v>
      </c>
      <c r="R46" s="252"/>
      <c r="S46" s="253">
        <f t="shared" si="39"/>
        <v>0</v>
      </c>
      <c r="T46" s="394">
        <f t="shared" si="40"/>
        <v>0</v>
      </c>
      <c r="U46" s="252"/>
      <c r="V46" s="253">
        <f t="shared" si="41"/>
        <v>0</v>
      </c>
      <c r="W46" s="394">
        <f t="shared" si="42"/>
        <v>0</v>
      </c>
      <c r="X46" s="378">
        <f t="shared" si="43"/>
        <v>0</v>
      </c>
      <c r="Y46" s="253">
        <f t="shared" si="44"/>
        <v>0</v>
      </c>
      <c r="Z46" s="394">
        <f t="shared" si="45"/>
        <v>0</v>
      </c>
      <c r="AA46" s="395">
        <f t="shared" si="46"/>
        <v>0</v>
      </c>
      <c r="AB46" s="319" t="s">
        <v>247</v>
      </c>
      <c r="AC46" s="252" t="s">
        <v>332</v>
      </c>
      <c r="AD46" s="252" t="s">
        <v>333</v>
      </c>
      <c r="AE46" s="319" t="s">
        <v>43</v>
      </c>
      <c r="AF46" s="397" t="s">
        <v>395</v>
      </c>
      <c r="AG46" s="405"/>
      <c r="AH46" s="349"/>
      <c r="AI46" s="350"/>
      <c r="AJ46" s="351"/>
      <c r="AK46" s="352"/>
      <c r="AL46" s="353"/>
      <c r="AM46" s="351"/>
      <c r="AN46" s="352"/>
      <c r="AO46" s="354"/>
      <c r="AP46" s="351"/>
      <c r="AQ46" s="352"/>
      <c r="AR46" s="354"/>
    </row>
    <row r="47" spans="2:44" s="237" customFormat="1" ht="86.25" x14ac:dyDescent="0.25">
      <c r="B47" s="1446" t="s">
        <v>594</v>
      </c>
      <c r="C47" s="1447">
        <v>10</v>
      </c>
      <c r="D47" s="1447" t="s">
        <v>273</v>
      </c>
      <c r="E47" s="1454">
        <v>0.16</v>
      </c>
      <c r="F47" s="342" t="s">
        <v>563</v>
      </c>
      <c r="G47" s="253" t="s">
        <v>295</v>
      </c>
      <c r="H47" s="253">
        <v>2</v>
      </c>
      <c r="I47" s="408">
        <v>0.2</v>
      </c>
      <c r="J47" s="318" t="s">
        <v>42</v>
      </c>
      <c r="K47" s="318" t="s">
        <v>40</v>
      </c>
      <c r="L47" s="253"/>
      <c r="M47" s="253">
        <f t="shared" si="36"/>
        <v>0</v>
      </c>
      <c r="N47" s="394">
        <f t="shared" si="37"/>
        <v>0</v>
      </c>
      <c r="O47" s="252"/>
      <c r="P47" s="253">
        <f t="shared" si="35"/>
        <v>0</v>
      </c>
      <c r="Q47" s="394">
        <f t="shared" si="38"/>
        <v>0</v>
      </c>
      <c r="R47" s="252"/>
      <c r="S47" s="253">
        <f t="shared" si="39"/>
        <v>0</v>
      </c>
      <c r="T47" s="394">
        <f t="shared" si="40"/>
        <v>0</v>
      </c>
      <c r="U47" s="252"/>
      <c r="V47" s="253">
        <f t="shared" si="41"/>
        <v>0</v>
      </c>
      <c r="W47" s="394">
        <f t="shared" si="42"/>
        <v>0</v>
      </c>
      <c r="X47" s="378">
        <f t="shared" si="43"/>
        <v>0</v>
      </c>
      <c r="Y47" s="253">
        <f t="shared" si="44"/>
        <v>0</v>
      </c>
      <c r="Z47" s="394">
        <f t="shared" si="45"/>
        <v>0</v>
      </c>
      <c r="AA47" s="395">
        <f t="shared" si="46"/>
        <v>0</v>
      </c>
      <c r="AB47" s="319" t="s">
        <v>478</v>
      </c>
      <c r="AC47" s="252" t="s">
        <v>479</v>
      </c>
      <c r="AD47" s="252" t="s">
        <v>480</v>
      </c>
      <c r="AE47" s="319" t="s">
        <v>43</v>
      </c>
      <c r="AF47" s="397" t="s">
        <v>396</v>
      </c>
      <c r="AG47" s="405"/>
      <c r="AH47" s="349"/>
      <c r="AI47" s="350"/>
      <c r="AJ47" s="351"/>
      <c r="AK47" s="352"/>
      <c r="AL47" s="353"/>
      <c r="AM47" s="351"/>
      <c r="AN47" s="352"/>
      <c r="AO47" s="354"/>
      <c r="AP47" s="351"/>
      <c r="AQ47" s="352"/>
      <c r="AR47" s="354"/>
    </row>
    <row r="48" spans="2:44" s="237" customFormat="1" ht="86.25" x14ac:dyDescent="0.25">
      <c r="B48" s="1446"/>
      <c r="C48" s="1447"/>
      <c r="D48" s="1447"/>
      <c r="E48" s="1454"/>
      <c r="F48" s="342" t="s">
        <v>564</v>
      </c>
      <c r="G48" s="253" t="s">
        <v>459</v>
      </c>
      <c r="H48" s="253">
        <v>16</v>
      </c>
      <c r="I48" s="318">
        <v>0.2</v>
      </c>
      <c r="J48" s="318" t="s">
        <v>42</v>
      </c>
      <c r="K48" s="318" t="s">
        <v>40</v>
      </c>
      <c r="L48" s="253"/>
      <c r="M48" s="253">
        <f t="shared" si="36"/>
        <v>0</v>
      </c>
      <c r="N48" s="394">
        <f t="shared" si="37"/>
        <v>0</v>
      </c>
      <c r="O48" s="252"/>
      <c r="P48" s="253">
        <f t="shared" si="35"/>
        <v>0</v>
      </c>
      <c r="Q48" s="394">
        <f t="shared" si="38"/>
        <v>0</v>
      </c>
      <c r="R48" s="252"/>
      <c r="S48" s="253">
        <f t="shared" si="39"/>
        <v>0</v>
      </c>
      <c r="T48" s="394">
        <f t="shared" si="40"/>
        <v>0</v>
      </c>
      <c r="U48" s="252"/>
      <c r="V48" s="253">
        <f t="shared" si="41"/>
        <v>0</v>
      </c>
      <c r="W48" s="394">
        <f t="shared" si="42"/>
        <v>0</v>
      </c>
      <c r="X48" s="378">
        <f t="shared" si="43"/>
        <v>0</v>
      </c>
      <c r="Y48" s="253">
        <f t="shared" si="44"/>
        <v>0</v>
      </c>
      <c r="Z48" s="394">
        <f t="shared" si="45"/>
        <v>0</v>
      </c>
      <c r="AA48" s="395">
        <f t="shared" si="46"/>
        <v>0</v>
      </c>
      <c r="AB48" s="319" t="s">
        <v>334</v>
      </c>
      <c r="AC48" s="252" t="s">
        <v>481</v>
      </c>
      <c r="AD48" s="252" t="s">
        <v>482</v>
      </c>
      <c r="AE48" s="319" t="s">
        <v>43</v>
      </c>
      <c r="AF48" s="397" t="s">
        <v>397</v>
      </c>
      <c r="AG48" s="372"/>
      <c r="AH48" s="274"/>
      <c r="AI48" s="275"/>
      <c r="AJ48" s="279"/>
      <c r="AK48" s="280"/>
      <c r="AL48" s="346"/>
      <c r="AM48" s="279"/>
      <c r="AN48" s="280"/>
      <c r="AO48" s="282"/>
      <c r="AP48" s="279"/>
      <c r="AQ48" s="280"/>
      <c r="AR48" s="282"/>
    </row>
    <row r="49" spans="2:44" s="237" customFormat="1" ht="51.75" x14ac:dyDescent="0.25">
      <c r="B49" s="1446"/>
      <c r="C49" s="1447"/>
      <c r="D49" s="1447"/>
      <c r="E49" s="1454"/>
      <c r="F49" s="342" t="s">
        <v>631</v>
      </c>
      <c r="G49" s="253" t="s">
        <v>483</v>
      </c>
      <c r="H49" s="253">
        <v>130</v>
      </c>
      <c r="I49" s="318">
        <v>0.3</v>
      </c>
      <c r="J49" s="318" t="s">
        <v>42</v>
      </c>
      <c r="K49" s="318" t="s">
        <v>40</v>
      </c>
      <c r="L49" s="253"/>
      <c r="M49" s="253">
        <f t="shared" si="36"/>
        <v>0</v>
      </c>
      <c r="N49" s="394">
        <f t="shared" si="37"/>
        <v>0</v>
      </c>
      <c r="O49" s="252"/>
      <c r="P49" s="253">
        <f t="shared" si="35"/>
        <v>0</v>
      </c>
      <c r="Q49" s="394">
        <f t="shared" si="38"/>
        <v>0</v>
      </c>
      <c r="R49" s="252"/>
      <c r="S49" s="253">
        <f t="shared" si="39"/>
        <v>0</v>
      </c>
      <c r="T49" s="394">
        <f t="shared" si="40"/>
        <v>0</v>
      </c>
      <c r="U49" s="252"/>
      <c r="V49" s="253">
        <f t="shared" si="41"/>
        <v>0</v>
      </c>
      <c r="W49" s="394">
        <f t="shared" si="42"/>
        <v>0</v>
      </c>
      <c r="X49" s="378">
        <f t="shared" si="43"/>
        <v>0</v>
      </c>
      <c r="Y49" s="253">
        <f t="shared" si="44"/>
        <v>0</v>
      </c>
      <c r="Z49" s="394">
        <f t="shared" si="45"/>
        <v>0</v>
      </c>
      <c r="AA49" s="395">
        <f t="shared" si="46"/>
        <v>0</v>
      </c>
      <c r="AB49" s="319" t="s">
        <v>335</v>
      </c>
      <c r="AC49" s="252" t="s">
        <v>336</v>
      </c>
      <c r="AD49" s="252" t="s">
        <v>337</v>
      </c>
      <c r="AE49" s="319" t="s">
        <v>43</v>
      </c>
      <c r="AF49" s="397" t="s">
        <v>398</v>
      </c>
      <c r="AG49" s="372"/>
      <c r="AH49" s="274"/>
      <c r="AI49" s="275"/>
      <c r="AJ49" s="279"/>
      <c r="AK49" s="280"/>
      <c r="AL49" s="346"/>
      <c r="AM49" s="279"/>
      <c r="AN49" s="280"/>
      <c r="AO49" s="282"/>
      <c r="AP49" s="279"/>
      <c r="AQ49" s="280"/>
      <c r="AR49" s="282"/>
    </row>
    <row r="50" spans="2:44" s="237" customFormat="1" ht="52.5" thickBot="1" x14ac:dyDescent="0.3">
      <c r="B50" s="1446"/>
      <c r="C50" s="1447"/>
      <c r="D50" s="1447"/>
      <c r="E50" s="1454"/>
      <c r="F50" s="342" t="s">
        <v>632</v>
      </c>
      <c r="G50" s="253" t="s">
        <v>460</v>
      </c>
      <c r="H50" s="253">
        <v>69</v>
      </c>
      <c r="I50" s="318">
        <v>0.3</v>
      </c>
      <c r="J50" s="318" t="s">
        <v>39</v>
      </c>
      <c r="K50" s="318" t="s">
        <v>106</v>
      </c>
      <c r="L50" s="253"/>
      <c r="M50" s="253">
        <f t="shared" si="36"/>
        <v>0</v>
      </c>
      <c r="N50" s="394">
        <f t="shared" si="37"/>
        <v>0</v>
      </c>
      <c r="O50" s="252"/>
      <c r="P50" s="253">
        <f t="shared" si="35"/>
        <v>0</v>
      </c>
      <c r="Q50" s="394">
        <f t="shared" si="38"/>
        <v>0</v>
      </c>
      <c r="R50" s="252"/>
      <c r="S50" s="253">
        <f t="shared" si="39"/>
        <v>0</v>
      </c>
      <c r="T50" s="394">
        <f t="shared" si="40"/>
        <v>0</v>
      </c>
      <c r="U50" s="252"/>
      <c r="V50" s="253">
        <f t="shared" si="41"/>
        <v>0</v>
      </c>
      <c r="W50" s="394">
        <f t="shared" si="42"/>
        <v>0</v>
      </c>
      <c r="X50" s="378">
        <f t="shared" si="43"/>
        <v>0</v>
      </c>
      <c r="Y50" s="253">
        <f t="shared" si="44"/>
        <v>0</v>
      </c>
      <c r="Z50" s="394">
        <f t="shared" si="45"/>
        <v>0</v>
      </c>
      <c r="AA50" s="395">
        <f t="shared" si="46"/>
        <v>0</v>
      </c>
      <c r="AB50" s="319" t="s">
        <v>484</v>
      </c>
      <c r="AC50" s="252" t="s">
        <v>485</v>
      </c>
      <c r="AD50" s="252" t="s">
        <v>338</v>
      </c>
      <c r="AE50" s="319" t="s">
        <v>43</v>
      </c>
      <c r="AF50" s="397" t="s">
        <v>397</v>
      </c>
      <c r="AG50" s="358"/>
      <c r="AH50" s="268"/>
      <c r="AI50" s="269"/>
      <c r="AJ50" s="270"/>
      <c r="AK50" s="271"/>
      <c r="AL50" s="347"/>
      <c r="AM50" s="270"/>
      <c r="AN50" s="271"/>
      <c r="AO50" s="273"/>
      <c r="AP50" s="270"/>
      <c r="AQ50" s="271"/>
      <c r="AR50" s="273"/>
    </row>
    <row r="51" spans="2:44" s="237" customFormat="1" ht="86.25" x14ac:dyDescent="0.25">
      <c r="B51" s="1446"/>
      <c r="C51" s="1447">
        <v>11</v>
      </c>
      <c r="D51" s="1447" t="s">
        <v>278</v>
      </c>
      <c r="E51" s="1454">
        <v>0.16</v>
      </c>
      <c r="F51" s="342" t="s">
        <v>565</v>
      </c>
      <c r="G51" s="253" t="s">
        <v>303</v>
      </c>
      <c r="H51" s="253">
        <v>2923</v>
      </c>
      <c r="I51" s="318">
        <v>0.8</v>
      </c>
      <c r="J51" s="318" t="s">
        <v>39</v>
      </c>
      <c r="K51" s="318" t="s">
        <v>106</v>
      </c>
      <c r="L51" s="318">
        <v>1</v>
      </c>
      <c r="M51" s="253">
        <f t="shared" si="36"/>
        <v>0</v>
      </c>
      <c r="N51" s="394"/>
      <c r="O51" s="318">
        <v>1</v>
      </c>
      <c r="P51" s="253"/>
      <c r="Q51" s="394"/>
      <c r="R51" s="318">
        <v>1</v>
      </c>
      <c r="S51" s="253"/>
      <c r="T51" s="394"/>
      <c r="U51" s="318">
        <v>1</v>
      </c>
      <c r="V51" s="253"/>
      <c r="W51" s="394"/>
      <c r="X51" s="380">
        <f t="shared" si="43"/>
        <v>1</v>
      </c>
      <c r="Y51" s="253">
        <f t="shared" si="44"/>
        <v>0</v>
      </c>
      <c r="Z51" s="394">
        <f t="shared" si="45"/>
        <v>0</v>
      </c>
      <c r="AA51" s="395">
        <f t="shared" si="46"/>
        <v>0</v>
      </c>
      <c r="AB51" s="319" t="s">
        <v>486</v>
      </c>
      <c r="AC51" s="252" t="s">
        <v>487</v>
      </c>
      <c r="AD51" s="252" t="s">
        <v>488</v>
      </c>
      <c r="AE51" s="319" t="s">
        <v>43</v>
      </c>
      <c r="AF51" s="397" t="s">
        <v>399</v>
      </c>
      <c r="AG51" s="372"/>
      <c r="AH51" s="274"/>
      <c r="AI51" s="275"/>
      <c r="AJ51" s="279"/>
      <c r="AK51" s="280"/>
      <c r="AL51" s="346"/>
      <c r="AM51" s="279"/>
      <c r="AN51" s="280"/>
      <c r="AO51" s="282"/>
      <c r="AP51" s="279"/>
      <c r="AQ51" s="280"/>
      <c r="AR51" s="282"/>
    </row>
    <row r="52" spans="2:44" s="237" customFormat="1" ht="69.75" thickBot="1" x14ac:dyDescent="0.3">
      <c r="B52" s="1446"/>
      <c r="C52" s="1447"/>
      <c r="D52" s="1447"/>
      <c r="E52" s="1454"/>
      <c r="F52" s="342" t="s">
        <v>566</v>
      </c>
      <c r="G52" s="253" t="s">
        <v>305</v>
      </c>
      <c r="H52" s="253">
        <v>365</v>
      </c>
      <c r="I52" s="318">
        <v>0.2</v>
      </c>
      <c r="J52" s="318" t="s">
        <v>39</v>
      </c>
      <c r="K52" s="318" t="s">
        <v>106</v>
      </c>
      <c r="L52" s="318">
        <v>1</v>
      </c>
      <c r="M52" s="253">
        <f t="shared" si="36"/>
        <v>0</v>
      </c>
      <c r="N52" s="394">
        <f t="shared" si="37"/>
        <v>0</v>
      </c>
      <c r="O52" s="318">
        <v>1</v>
      </c>
      <c r="P52" s="253">
        <f t="shared" si="35"/>
        <v>0</v>
      </c>
      <c r="Q52" s="394">
        <f t="shared" si="38"/>
        <v>0</v>
      </c>
      <c r="R52" s="318">
        <v>1</v>
      </c>
      <c r="S52" s="253">
        <f t="shared" si="39"/>
        <v>0</v>
      </c>
      <c r="T52" s="394">
        <f t="shared" si="40"/>
        <v>0</v>
      </c>
      <c r="U52" s="318">
        <v>1</v>
      </c>
      <c r="V52" s="253">
        <f t="shared" si="41"/>
        <v>0</v>
      </c>
      <c r="W52" s="394">
        <f t="shared" si="42"/>
        <v>0</v>
      </c>
      <c r="X52" s="380">
        <f t="shared" si="43"/>
        <v>1</v>
      </c>
      <c r="Y52" s="253">
        <f t="shared" si="44"/>
        <v>0</v>
      </c>
      <c r="Z52" s="394">
        <f t="shared" si="45"/>
        <v>0</v>
      </c>
      <c r="AA52" s="395">
        <f t="shared" si="46"/>
        <v>0</v>
      </c>
      <c r="AB52" s="319" t="s">
        <v>489</v>
      </c>
      <c r="AC52" s="252" t="s">
        <v>339</v>
      </c>
      <c r="AD52" s="252" t="s">
        <v>490</v>
      </c>
      <c r="AE52" s="319" t="s">
        <v>43</v>
      </c>
      <c r="AF52" s="397" t="s">
        <v>400</v>
      </c>
      <c r="AG52" s="372"/>
      <c r="AH52" s="274"/>
      <c r="AI52" s="275"/>
      <c r="AJ52" s="279"/>
      <c r="AK52" s="280"/>
      <c r="AL52" s="281"/>
      <c r="AM52" s="279"/>
      <c r="AN52" s="280"/>
      <c r="AO52" s="282"/>
      <c r="AP52" s="279"/>
      <c r="AQ52" s="280"/>
      <c r="AR52" s="282"/>
    </row>
    <row r="53" spans="2:44" s="237" customFormat="1" ht="69" x14ac:dyDescent="0.25">
      <c r="B53" s="1446" t="s">
        <v>593</v>
      </c>
      <c r="C53" s="1447">
        <v>12</v>
      </c>
      <c r="D53" s="252" t="s">
        <v>231</v>
      </c>
      <c r="E53" s="1454">
        <v>0.16</v>
      </c>
      <c r="F53" s="342" t="s">
        <v>567</v>
      </c>
      <c r="G53" s="253" t="s">
        <v>491</v>
      </c>
      <c r="H53" s="360">
        <v>50622</v>
      </c>
      <c r="I53" s="318">
        <v>0.8</v>
      </c>
      <c r="J53" s="318" t="s">
        <v>42</v>
      </c>
      <c r="K53" s="318" t="s">
        <v>40</v>
      </c>
      <c r="L53" s="253"/>
      <c r="M53" s="253">
        <f t="shared" si="36"/>
        <v>0</v>
      </c>
      <c r="N53" s="394">
        <f t="shared" si="37"/>
        <v>0</v>
      </c>
      <c r="O53" s="252"/>
      <c r="P53" s="253">
        <f t="shared" si="35"/>
        <v>0</v>
      </c>
      <c r="Q53" s="394">
        <f t="shared" si="38"/>
        <v>0</v>
      </c>
      <c r="R53" s="252"/>
      <c r="S53" s="253">
        <f t="shared" si="39"/>
        <v>0</v>
      </c>
      <c r="T53" s="394">
        <f t="shared" si="40"/>
        <v>0</v>
      </c>
      <c r="U53" s="252"/>
      <c r="V53" s="253">
        <f t="shared" si="41"/>
        <v>0</v>
      </c>
      <c r="W53" s="394">
        <f t="shared" si="42"/>
        <v>0</v>
      </c>
      <c r="X53" s="378">
        <f t="shared" si="43"/>
        <v>0</v>
      </c>
      <c r="Y53" s="253">
        <f t="shared" si="44"/>
        <v>0</v>
      </c>
      <c r="Z53" s="394">
        <f t="shared" si="45"/>
        <v>0</v>
      </c>
      <c r="AA53" s="395">
        <f t="shared" si="46"/>
        <v>0</v>
      </c>
      <c r="AB53" s="319" t="s">
        <v>340</v>
      </c>
      <c r="AC53" s="252" t="s">
        <v>341</v>
      </c>
      <c r="AD53" s="252" t="s">
        <v>492</v>
      </c>
      <c r="AE53" s="319" t="s">
        <v>43</v>
      </c>
      <c r="AF53" s="397" t="s">
        <v>401</v>
      </c>
      <c r="AG53" s="357"/>
      <c r="AH53" s="286"/>
      <c r="AI53" s="286"/>
      <c r="AJ53" s="287"/>
      <c r="AK53" s="287"/>
      <c r="AL53" s="288"/>
      <c r="AM53" s="287"/>
      <c r="AN53" s="287"/>
      <c r="AO53" s="287"/>
      <c r="AP53" s="287"/>
      <c r="AQ53" s="287"/>
      <c r="AR53" s="289"/>
    </row>
    <row r="54" spans="2:44" s="237" customFormat="1" ht="104.25" thickBot="1" x14ac:dyDescent="0.3">
      <c r="B54" s="1446"/>
      <c r="C54" s="1447"/>
      <c r="D54" s="252" t="s">
        <v>232</v>
      </c>
      <c r="E54" s="1454"/>
      <c r="F54" s="342" t="s">
        <v>568</v>
      </c>
      <c r="G54" s="253" t="s">
        <v>300</v>
      </c>
      <c r="H54" s="360">
        <v>8447</v>
      </c>
      <c r="I54" s="318">
        <v>0.2</v>
      </c>
      <c r="J54" s="318" t="s">
        <v>42</v>
      </c>
      <c r="K54" s="318" t="s">
        <v>40</v>
      </c>
      <c r="L54" s="253"/>
      <c r="M54" s="253">
        <f t="shared" si="36"/>
        <v>0</v>
      </c>
      <c r="N54" s="394">
        <f t="shared" si="37"/>
        <v>0</v>
      </c>
      <c r="O54" s="252"/>
      <c r="P54" s="253">
        <f t="shared" si="35"/>
        <v>0</v>
      </c>
      <c r="Q54" s="394">
        <f t="shared" si="38"/>
        <v>0</v>
      </c>
      <c r="R54" s="252"/>
      <c r="S54" s="253">
        <f t="shared" si="39"/>
        <v>0</v>
      </c>
      <c r="T54" s="394">
        <f t="shared" si="40"/>
        <v>0</v>
      </c>
      <c r="U54" s="252"/>
      <c r="V54" s="253">
        <f t="shared" si="41"/>
        <v>0</v>
      </c>
      <c r="W54" s="394">
        <f t="shared" si="42"/>
        <v>0</v>
      </c>
      <c r="X54" s="378">
        <f t="shared" si="43"/>
        <v>0</v>
      </c>
      <c r="Y54" s="253">
        <f t="shared" si="44"/>
        <v>0</v>
      </c>
      <c r="Z54" s="394">
        <f t="shared" si="45"/>
        <v>0</v>
      </c>
      <c r="AA54" s="395">
        <f t="shared" si="46"/>
        <v>0</v>
      </c>
      <c r="AB54" s="319" t="s">
        <v>342</v>
      </c>
      <c r="AC54" s="252" t="s">
        <v>493</v>
      </c>
      <c r="AD54" s="252" t="s">
        <v>494</v>
      </c>
      <c r="AE54" s="319" t="s">
        <v>43</v>
      </c>
      <c r="AF54" s="397" t="s">
        <v>401</v>
      </c>
      <c r="AG54" s="358"/>
      <c r="AH54" s="268"/>
      <c r="AI54" s="268"/>
      <c r="AJ54" s="271"/>
      <c r="AK54" s="271"/>
      <c r="AL54" s="294"/>
      <c r="AM54" s="271"/>
      <c r="AN54" s="271"/>
      <c r="AO54" s="271"/>
      <c r="AP54" s="271"/>
      <c r="AQ54" s="271"/>
      <c r="AR54" s="273"/>
    </row>
    <row r="55" spans="2:44" s="237" customFormat="1" ht="69" x14ac:dyDescent="0.25">
      <c r="B55" s="1446" t="s">
        <v>594</v>
      </c>
      <c r="C55" s="1447">
        <v>13</v>
      </c>
      <c r="D55" s="1447" t="s">
        <v>649</v>
      </c>
      <c r="E55" s="1454">
        <v>0.25</v>
      </c>
      <c r="F55" s="359" t="s">
        <v>569</v>
      </c>
      <c r="G55" s="253" t="s">
        <v>311</v>
      </c>
      <c r="H55" s="360">
        <v>6829</v>
      </c>
      <c r="I55" s="318">
        <v>0.2</v>
      </c>
      <c r="J55" s="318" t="s">
        <v>42</v>
      </c>
      <c r="K55" s="318" t="s">
        <v>40</v>
      </c>
      <c r="L55" s="252"/>
      <c r="M55" s="253">
        <f t="shared" si="36"/>
        <v>0</v>
      </c>
      <c r="N55" s="394">
        <f t="shared" si="37"/>
        <v>0</v>
      </c>
      <c r="O55" s="252"/>
      <c r="P55" s="253">
        <f t="shared" si="35"/>
        <v>0</v>
      </c>
      <c r="Q55" s="394">
        <f t="shared" si="38"/>
        <v>0</v>
      </c>
      <c r="R55" s="252"/>
      <c r="S55" s="253">
        <f t="shared" si="39"/>
        <v>0</v>
      </c>
      <c r="T55" s="394">
        <f t="shared" si="40"/>
        <v>0</v>
      </c>
      <c r="U55" s="252"/>
      <c r="V55" s="253">
        <f t="shared" si="41"/>
        <v>0</v>
      </c>
      <c r="W55" s="394">
        <f t="shared" si="42"/>
        <v>0</v>
      </c>
      <c r="X55" s="378">
        <f t="shared" si="43"/>
        <v>0</v>
      </c>
      <c r="Y55" s="253">
        <f t="shared" si="44"/>
        <v>0</v>
      </c>
      <c r="Z55" s="394">
        <f t="shared" si="45"/>
        <v>0</v>
      </c>
      <c r="AA55" s="395">
        <f t="shared" si="46"/>
        <v>0</v>
      </c>
      <c r="AB55" s="319" t="s">
        <v>363</v>
      </c>
      <c r="AC55" s="252" t="s">
        <v>343</v>
      </c>
      <c r="AD55" s="252" t="s">
        <v>495</v>
      </c>
      <c r="AE55" s="319" t="s">
        <v>43</v>
      </c>
      <c r="AF55" s="397" t="s">
        <v>404</v>
      </c>
      <c r="AG55" s="343"/>
      <c r="AH55" s="246"/>
      <c r="AI55" s="247"/>
      <c r="AJ55" s="248"/>
      <c r="AK55" s="249"/>
      <c r="AL55" s="250"/>
      <c r="AM55" s="248"/>
      <c r="AN55" s="249"/>
      <c r="AO55" s="251"/>
      <c r="AP55" s="248"/>
      <c r="AQ55" s="249"/>
      <c r="AR55" s="251"/>
    </row>
    <row r="56" spans="2:44" s="237" customFormat="1" ht="69" x14ac:dyDescent="0.25">
      <c r="B56" s="1446"/>
      <c r="C56" s="1447"/>
      <c r="D56" s="1447"/>
      <c r="E56" s="1454"/>
      <c r="F56" s="359" t="s">
        <v>570</v>
      </c>
      <c r="G56" s="253" t="s">
        <v>310</v>
      </c>
      <c r="H56" s="360">
        <v>1493</v>
      </c>
      <c r="I56" s="318">
        <v>0.2</v>
      </c>
      <c r="J56" s="318" t="s">
        <v>42</v>
      </c>
      <c r="K56" s="318" t="s">
        <v>40</v>
      </c>
      <c r="L56" s="252"/>
      <c r="M56" s="253">
        <f t="shared" si="36"/>
        <v>0</v>
      </c>
      <c r="N56" s="394">
        <f t="shared" si="37"/>
        <v>0</v>
      </c>
      <c r="O56" s="252"/>
      <c r="P56" s="253">
        <f t="shared" si="35"/>
        <v>0</v>
      </c>
      <c r="Q56" s="394">
        <f t="shared" si="38"/>
        <v>0</v>
      </c>
      <c r="R56" s="252"/>
      <c r="S56" s="253">
        <f t="shared" si="39"/>
        <v>0</v>
      </c>
      <c r="T56" s="394">
        <f t="shared" si="40"/>
        <v>0</v>
      </c>
      <c r="U56" s="252"/>
      <c r="V56" s="253">
        <f t="shared" si="41"/>
        <v>0</v>
      </c>
      <c r="W56" s="394">
        <f t="shared" si="42"/>
        <v>0</v>
      </c>
      <c r="X56" s="378">
        <f t="shared" si="43"/>
        <v>0</v>
      </c>
      <c r="Y56" s="253">
        <f t="shared" si="44"/>
        <v>0</v>
      </c>
      <c r="Z56" s="394">
        <f t="shared" si="45"/>
        <v>0</v>
      </c>
      <c r="AA56" s="395">
        <f t="shared" si="46"/>
        <v>0</v>
      </c>
      <c r="AB56" s="319" t="s">
        <v>364</v>
      </c>
      <c r="AC56" s="252" t="s">
        <v>343</v>
      </c>
      <c r="AD56" s="252" t="s">
        <v>495</v>
      </c>
      <c r="AE56" s="319" t="s">
        <v>43</v>
      </c>
      <c r="AF56" s="397" t="s">
        <v>405</v>
      </c>
      <c r="AG56" s="373"/>
      <c r="AH56" s="258"/>
      <c r="AI56" s="259"/>
      <c r="AJ56" s="260"/>
      <c r="AK56" s="261"/>
      <c r="AL56" s="262"/>
      <c r="AM56" s="260"/>
      <c r="AN56" s="261"/>
      <c r="AO56" s="263"/>
      <c r="AP56" s="260"/>
      <c r="AQ56" s="261"/>
      <c r="AR56" s="263"/>
    </row>
    <row r="57" spans="2:44" s="237" customFormat="1" ht="69" x14ac:dyDescent="0.25">
      <c r="B57" s="1446"/>
      <c r="C57" s="1447"/>
      <c r="D57" s="1447"/>
      <c r="E57" s="1454"/>
      <c r="F57" s="359" t="s">
        <v>571</v>
      </c>
      <c r="G57" s="253" t="s">
        <v>514</v>
      </c>
      <c r="H57" s="360">
        <v>3788</v>
      </c>
      <c r="I57" s="318">
        <v>0.2</v>
      </c>
      <c r="J57" s="318" t="s">
        <v>42</v>
      </c>
      <c r="K57" s="318" t="s">
        <v>40</v>
      </c>
      <c r="L57" s="252"/>
      <c r="M57" s="253">
        <f t="shared" si="36"/>
        <v>0</v>
      </c>
      <c r="N57" s="394">
        <f t="shared" si="37"/>
        <v>0</v>
      </c>
      <c r="O57" s="252"/>
      <c r="P57" s="253">
        <f t="shared" si="35"/>
        <v>0</v>
      </c>
      <c r="Q57" s="394">
        <f t="shared" si="38"/>
        <v>0</v>
      </c>
      <c r="R57" s="252"/>
      <c r="S57" s="253">
        <f t="shared" si="39"/>
        <v>0</v>
      </c>
      <c r="T57" s="394">
        <f t="shared" si="40"/>
        <v>0</v>
      </c>
      <c r="U57" s="252"/>
      <c r="V57" s="253">
        <f t="shared" si="41"/>
        <v>0</v>
      </c>
      <c r="W57" s="394">
        <f t="shared" si="42"/>
        <v>0</v>
      </c>
      <c r="X57" s="378">
        <f t="shared" si="43"/>
        <v>0</v>
      </c>
      <c r="Y57" s="253">
        <f t="shared" si="44"/>
        <v>0</v>
      </c>
      <c r="Z57" s="394">
        <f t="shared" si="45"/>
        <v>0</v>
      </c>
      <c r="AA57" s="395">
        <f t="shared" si="46"/>
        <v>0</v>
      </c>
      <c r="AB57" s="319" t="s">
        <v>365</v>
      </c>
      <c r="AC57" s="252" t="s">
        <v>343</v>
      </c>
      <c r="AD57" s="252" t="s">
        <v>495</v>
      </c>
      <c r="AE57" s="319" t="s">
        <v>43</v>
      </c>
      <c r="AF57" s="397" t="s">
        <v>405</v>
      </c>
      <c r="AG57" s="373"/>
      <c r="AH57" s="258"/>
      <c r="AI57" s="259"/>
      <c r="AJ57" s="260"/>
      <c r="AK57" s="261"/>
      <c r="AL57" s="264"/>
      <c r="AM57" s="260"/>
      <c r="AN57" s="261"/>
      <c r="AO57" s="263"/>
      <c r="AP57" s="260"/>
      <c r="AQ57" s="261"/>
      <c r="AR57" s="263"/>
    </row>
    <row r="58" spans="2:44" s="237" customFormat="1" ht="86.25" x14ac:dyDescent="0.25">
      <c r="B58" s="1446"/>
      <c r="C58" s="1447"/>
      <c r="D58" s="1447"/>
      <c r="E58" s="1454"/>
      <c r="F58" s="359" t="s">
        <v>572</v>
      </c>
      <c r="G58" s="253" t="s">
        <v>513</v>
      </c>
      <c r="H58" s="360">
        <v>10400</v>
      </c>
      <c r="I58" s="318">
        <v>0.2</v>
      </c>
      <c r="J58" s="318" t="s">
        <v>42</v>
      </c>
      <c r="K58" s="318" t="s">
        <v>40</v>
      </c>
      <c r="L58" s="252"/>
      <c r="M58" s="253">
        <f t="shared" si="36"/>
        <v>0</v>
      </c>
      <c r="N58" s="394">
        <f t="shared" si="37"/>
        <v>0</v>
      </c>
      <c r="O58" s="252"/>
      <c r="P58" s="253">
        <f t="shared" si="35"/>
        <v>0</v>
      </c>
      <c r="Q58" s="394">
        <f t="shared" si="38"/>
        <v>0</v>
      </c>
      <c r="R58" s="252"/>
      <c r="S58" s="253">
        <f t="shared" si="39"/>
        <v>0</v>
      </c>
      <c r="T58" s="394">
        <f t="shared" si="40"/>
        <v>0</v>
      </c>
      <c r="U58" s="252"/>
      <c r="V58" s="253">
        <f t="shared" si="41"/>
        <v>0</v>
      </c>
      <c r="W58" s="394">
        <f t="shared" si="42"/>
        <v>0</v>
      </c>
      <c r="X58" s="378">
        <f t="shared" si="43"/>
        <v>0</v>
      </c>
      <c r="Y58" s="253">
        <f t="shared" si="44"/>
        <v>0</v>
      </c>
      <c r="Z58" s="394">
        <f t="shared" si="45"/>
        <v>0</v>
      </c>
      <c r="AA58" s="395">
        <f t="shared" si="46"/>
        <v>0</v>
      </c>
      <c r="AB58" s="319" t="s">
        <v>366</v>
      </c>
      <c r="AC58" s="252" t="s">
        <v>343</v>
      </c>
      <c r="AD58" s="252" t="s">
        <v>495</v>
      </c>
      <c r="AE58" s="319" t="s">
        <v>43</v>
      </c>
      <c r="AF58" s="397" t="s">
        <v>406</v>
      </c>
      <c r="AG58" s="372"/>
      <c r="AH58" s="274"/>
      <c r="AI58" s="275"/>
      <c r="AJ58" s="279"/>
      <c r="AK58" s="280"/>
      <c r="AL58" s="346"/>
      <c r="AM58" s="279"/>
      <c r="AN58" s="280"/>
      <c r="AO58" s="282"/>
      <c r="AP58" s="279"/>
      <c r="AQ58" s="280"/>
      <c r="AR58" s="282"/>
    </row>
    <row r="59" spans="2:44" s="237" customFormat="1" ht="69.75" thickBot="1" x14ac:dyDescent="0.3">
      <c r="B59" s="1446"/>
      <c r="C59" s="1447"/>
      <c r="D59" s="1447"/>
      <c r="E59" s="1454"/>
      <c r="F59" s="359" t="s">
        <v>573</v>
      </c>
      <c r="G59" s="253" t="s">
        <v>306</v>
      </c>
      <c r="H59" s="360">
        <v>0</v>
      </c>
      <c r="I59" s="318">
        <v>0.2</v>
      </c>
      <c r="J59" s="318" t="s">
        <v>42</v>
      </c>
      <c r="K59" s="318" t="s">
        <v>40</v>
      </c>
      <c r="L59" s="252"/>
      <c r="M59" s="253">
        <f t="shared" si="36"/>
        <v>0</v>
      </c>
      <c r="N59" s="394">
        <f t="shared" si="37"/>
        <v>0</v>
      </c>
      <c r="O59" s="252"/>
      <c r="P59" s="253">
        <f t="shared" si="35"/>
        <v>0</v>
      </c>
      <c r="Q59" s="394">
        <f t="shared" si="38"/>
        <v>0</v>
      </c>
      <c r="R59" s="252"/>
      <c r="S59" s="253">
        <f t="shared" si="39"/>
        <v>0</v>
      </c>
      <c r="T59" s="394">
        <f t="shared" si="40"/>
        <v>0</v>
      </c>
      <c r="U59" s="252"/>
      <c r="V59" s="253">
        <f t="shared" si="41"/>
        <v>0</v>
      </c>
      <c r="W59" s="394">
        <f t="shared" si="42"/>
        <v>0</v>
      </c>
      <c r="X59" s="378">
        <f t="shared" si="43"/>
        <v>0</v>
      </c>
      <c r="Y59" s="253">
        <f t="shared" si="44"/>
        <v>0</v>
      </c>
      <c r="Z59" s="394">
        <f t="shared" si="45"/>
        <v>0</v>
      </c>
      <c r="AA59" s="395">
        <f t="shared" si="46"/>
        <v>0</v>
      </c>
      <c r="AB59" s="319" t="s">
        <v>367</v>
      </c>
      <c r="AC59" s="252" t="s">
        <v>496</v>
      </c>
      <c r="AD59" s="252" t="s">
        <v>497</v>
      </c>
      <c r="AE59" s="319" t="s">
        <v>43</v>
      </c>
      <c r="AF59" s="397" t="s">
        <v>407</v>
      </c>
      <c r="AG59" s="358"/>
      <c r="AH59" s="268"/>
      <c r="AI59" s="269"/>
      <c r="AJ59" s="270"/>
      <c r="AK59" s="271"/>
      <c r="AL59" s="347"/>
      <c r="AM59" s="270"/>
      <c r="AN59" s="271"/>
      <c r="AO59" s="273"/>
      <c r="AP59" s="270"/>
      <c r="AQ59" s="271"/>
      <c r="AR59" s="273"/>
    </row>
    <row r="60" spans="2:44" s="237" customFormat="1" ht="103.5" x14ac:dyDescent="0.25">
      <c r="B60" s="1446"/>
      <c r="C60" s="1447">
        <v>14</v>
      </c>
      <c r="D60" s="1447" t="s">
        <v>312</v>
      </c>
      <c r="E60" s="1454">
        <v>0.25</v>
      </c>
      <c r="F60" s="252" t="s">
        <v>574</v>
      </c>
      <c r="G60" s="253" t="s">
        <v>309</v>
      </c>
      <c r="H60" s="253">
        <v>12</v>
      </c>
      <c r="I60" s="318">
        <v>0.2</v>
      </c>
      <c r="J60" s="318" t="s">
        <v>42</v>
      </c>
      <c r="K60" s="318" t="s">
        <v>40</v>
      </c>
      <c r="L60" s="252"/>
      <c r="M60" s="253">
        <f t="shared" si="36"/>
        <v>0</v>
      </c>
      <c r="N60" s="394">
        <f t="shared" si="37"/>
        <v>0</v>
      </c>
      <c r="O60" s="252"/>
      <c r="P60" s="253">
        <f t="shared" si="35"/>
        <v>0</v>
      </c>
      <c r="Q60" s="394">
        <f t="shared" si="38"/>
        <v>0</v>
      </c>
      <c r="R60" s="252"/>
      <c r="S60" s="253">
        <f t="shared" si="39"/>
        <v>0</v>
      </c>
      <c r="T60" s="394">
        <f t="shared" si="40"/>
        <v>0</v>
      </c>
      <c r="U60" s="252"/>
      <c r="V60" s="253">
        <f t="shared" si="41"/>
        <v>0</v>
      </c>
      <c r="W60" s="394">
        <f t="shared" si="42"/>
        <v>0</v>
      </c>
      <c r="X60" s="378">
        <f t="shared" si="43"/>
        <v>0</v>
      </c>
      <c r="Y60" s="253">
        <f t="shared" si="44"/>
        <v>0</v>
      </c>
      <c r="Z60" s="394">
        <f t="shared" si="45"/>
        <v>0</v>
      </c>
      <c r="AA60" s="395">
        <f t="shared" si="46"/>
        <v>0</v>
      </c>
      <c r="AB60" s="319" t="s">
        <v>344</v>
      </c>
      <c r="AC60" s="252" t="s">
        <v>498</v>
      </c>
      <c r="AD60" s="252" t="s">
        <v>499</v>
      </c>
      <c r="AE60" s="319" t="s">
        <v>43</v>
      </c>
      <c r="AF60" s="397" t="s">
        <v>404</v>
      </c>
      <c r="AG60" s="405"/>
      <c r="AH60" s="349"/>
      <c r="AI60" s="362"/>
      <c r="AJ60" s="363"/>
      <c r="AK60" s="352"/>
      <c r="AL60" s="364"/>
      <c r="AM60" s="363"/>
      <c r="AN60" s="352"/>
      <c r="AO60" s="365"/>
      <c r="AP60" s="363"/>
      <c r="AQ60" s="352"/>
      <c r="AR60" s="365"/>
    </row>
    <row r="61" spans="2:44" s="237" customFormat="1" ht="86.25" x14ac:dyDescent="0.25">
      <c r="B61" s="1446"/>
      <c r="C61" s="1447"/>
      <c r="D61" s="1447"/>
      <c r="E61" s="1454"/>
      <c r="F61" s="252" t="s">
        <v>575</v>
      </c>
      <c r="G61" s="253" t="s">
        <v>308</v>
      </c>
      <c r="H61" s="253">
        <v>12</v>
      </c>
      <c r="I61" s="318">
        <v>0.15</v>
      </c>
      <c r="J61" s="318" t="s">
        <v>42</v>
      </c>
      <c r="K61" s="318" t="s">
        <v>40</v>
      </c>
      <c r="L61" s="252"/>
      <c r="M61" s="253">
        <f t="shared" si="36"/>
        <v>0</v>
      </c>
      <c r="N61" s="394">
        <f t="shared" si="37"/>
        <v>0</v>
      </c>
      <c r="O61" s="252"/>
      <c r="P61" s="253">
        <f t="shared" si="35"/>
        <v>0</v>
      </c>
      <c r="Q61" s="394">
        <f t="shared" si="38"/>
        <v>0</v>
      </c>
      <c r="R61" s="252"/>
      <c r="S61" s="253">
        <f t="shared" si="39"/>
        <v>0</v>
      </c>
      <c r="T61" s="394">
        <f t="shared" si="40"/>
        <v>0</v>
      </c>
      <c r="U61" s="252"/>
      <c r="V61" s="253">
        <f t="shared" si="41"/>
        <v>0</v>
      </c>
      <c r="W61" s="394">
        <f t="shared" si="42"/>
        <v>0</v>
      </c>
      <c r="X61" s="378">
        <f t="shared" si="43"/>
        <v>0</v>
      </c>
      <c r="Y61" s="253">
        <f t="shared" si="44"/>
        <v>0</v>
      </c>
      <c r="Z61" s="394">
        <f t="shared" si="45"/>
        <v>0</v>
      </c>
      <c r="AA61" s="395">
        <f t="shared" si="46"/>
        <v>0</v>
      </c>
      <c r="AB61" s="319" t="s">
        <v>500</v>
      </c>
      <c r="AC61" s="252" t="s">
        <v>501</v>
      </c>
      <c r="AD61" s="252" t="s">
        <v>502</v>
      </c>
      <c r="AE61" s="319" t="s">
        <v>43</v>
      </c>
      <c r="AF61" s="397" t="s">
        <v>404</v>
      </c>
      <c r="AG61" s="372"/>
      <c r="AH61" s="274"/>
      <c r="AI61" s="275"/>
      <c r="AJ61" s="279"/>
      <c r="AK61" s="280"/>
      <c r="AL61" s="346"/>
      <c r="AM61" s="279"/>
      <c r="AN61" s="280"/>
      <c r="AO61" s="282"/>
      <c r="AP61" s="279"/>
      <c r="AQ61" s="280"/>
      <c r="AR61" s="282"/>
    </row>
    <row r="62" spans="2:44" s="237" customFormat="1" ht="69" x14ac:dyDescent="0.25">
      <c r="B62" s="1446"/>
      <c r="C62" s="1447"/>
      <c r="D62" s="1447"/>
      <c r="E62" s="1454"/>
      <c r="F62" s="252" t="s">
        <v>633</v>
      </c>
      <c r="G62" s="253" t="s">
        <v>503</v>
      </c>
      <c r="H62" s="253">
        <v>411</v>
      </c>
      <c r="I62" s="318">
        <v>0.15</v>
      </c>
      <c r="J62" s="318" t="s">
        <v>42</v>
      </c>
      <c r="K62" s="318" t="s">
        <v>40</v>
      </c>
      <c r="L62" s="252"/>
      <c r="M62" s="253">
        <f t="shared" si="36"/>
        <v>0</v>
      </c>
      <c r="N62" s="394">
        <f t="shared" si="37"/>
        <v>0</v>
      </c>
      <c r="O62" s="252"/>
      <c r="P62" s="253">
        <f t="shared" si="35"/>
        <v>0</v>
      </c>
      <c r="Q62" s="394">
        <f t="shared" si="38"/>
        <v>0</v>
      </c>
      <c r="R62" s="252"/>
      <c r="S62" s="253">
        <f t="shared" si="39"/>
        <v>0</v>
      </c>
      <c r="T62" s="394">
        <f t="shared" si="40"/>
        <v>0</v>
      </c>
      <c r="U62" s="252"/>
      <c r="V62" s="253">
        <f t="shared" si="41"/>
        <v>0</v>
      </c>
      <c r="W62" s="394">
        <f t="shared" si="42"/>
        <v>0</v>
      </c>
      <c r="X62" s="378">
        <f t="shared" si="43"/>
        <v>0</v>
      </c>
      <c r="Y62" s="253">
        <f t="shared" si="44"/>
        <v>0</v>
      </c>
      <c r="Z62" s="394">
        <f t="shared" si="45"/>
        <v>0</v>
      </c>
      <c r="AA62" s="395">
        <f t="shared" si="46"/>
        <v>0</v>
      </c>
      <c r="AB62" s="319" t="s">
        <v>403</v>
      </c>
      <c r="AC62" s="252" t="s">
        <v>504</v>
      </c>
      <c r="AD62" s="252" t="s">
        <v>505</v>
      </c>
      <c r="AE62" s="319" t="s">
        <v>43</v>
      </c>
      <c r="AF62" s="397" t="s">
        <v>408</v>
      </c>
      <c r="AG62" s="372"/>
      <c r="AH62" s="274"/>
      <c r="AI62" s="275"/>
      <c r="AJ62" s="279"/>
      <c r="AK62" s="280"/>
      <c r="AL62" s="346"/>
      <c r="AM62" s="279"/>
      <c r="AN62" s="280"/>
      <c r="AO62" s="282"/>
      <c r="AP62" s="279"/>
      <c r="AQ62" s="280"/>
      <c r="AR62" s="282"/>
    </row>
    <row r="63" spans="2:44" s="237" customFormat="1" ht="69" x14ac:dyDescent="0.25">
      <c r="B63" s="1446"/>
      <c r="C63" s="1447"/>
      <c r="D63" s="1447"/>
      <c r="E63" s="1454"/>
      <c r="F63" s="252" t="s">
        <v>634</v>
      </c>
      <c r="G63" s="253" t="s">
        <v>515</v>
      </c>
      <c r="H63" s="253">
        <v>54</v>
      </c>
      <c r="I63" s="318">
        <v>0.15</v>
      </c>
      <c r="J63" s="318" t="s">
        <v>42</v>
      </c>
      <c r="K63" s="318" t="s">
        <v>40</v>
      </c>
      <c r="L63" s="252"/>
      <c r="M63" s="253">
        <f t="shared" si="36"/>
        <v>0</v>
      </c>
      <c r="N63" s="394">
        <f t="shared" si="37"/>
        <v>0</v>
      </c>
      <c r="O63" s="252"/>
      <c r="P63" s="253">
        <f t="shared" si="35"/>
        <v>0</v>
      </c>
      <c r="Q63" s="394">
        <f t="shared" si="38"/>
        <v>0</v>
      </c>
      <c r="R63" s="252"/>
      <c r="S63" s="253">
        <f t="shared" si="39"/>
        <v>0</v>
      </c>
      <c r="T63" s="394">
        <f t="shared" si="40"/>
        <v>0</v>
      </c>
      <c r="U63" s="252"/>
      <c r="V63" s="253">
        <f t="shared" si="41"/>
        <v>0</v>
      </c>
      <c r="W63" s="394">
        <f t="shared" si="42"/>
        <v>0</v>
      </c>
      <c r="X63" s="378">
        <f t="shared" si="43"/>
        <v>0</v>
      </c>
      <c r="Y63" s="253">
        <f t="shared" si="44"/>
        <v>0</v>
      </c>
      <c r="Z63" s="394">
        <f t="shared" si="45"/>
        <v>0</v>
      </c>
      <c r="AA63" s="395">
        <f t="shared" si="46"/>
        <v>0</v>
      </c>
      <c r="AB63" s="319" t="s">
        <v>368</v>
      </c>
      <c r="AC63" s="252" t="s">
        <v>506</v>
      </c>
      <c r="AD63" s="252" t="s">
        <v>507</v>
      </c>
      <c r="AE63" s="319" t="s">
        <v>43</v>
      </c>
      <c r="AF63" s="397" t="s">
        <v>408</v>
      </c>
      <c r="AG63" s="372"/>
      <c r="AH63" s="274"/>
      <c r="AI63" s="275"/>
      <c r="AJ63" s="279"/>
      <c r="AK63" s="280"/>
      <c r="AL63" s="346"/>
      <c r="AM63" s="279"/>
      <c r="AN63" s="280"/>
      <c r="AO63" s="282"/>
      <c r="AP63" s="279"/>
      <c r="AQ63" s="280"/>
      <c r="AR63" s="282"/>
    </row>
    <row r="64" spans="2:44" s="237" customFormat="1" ht="69" x14ac:dyDescent="0.25">
      <c r="B64" s="1446"/>
      <c r="C64" s="1447"/>
      <c r="D64" s="1447"/>
      <c r="E64" s="1454"/>
      <c r="F64" s="252" t="s">
        <v>635</v>
      </c>
      <c r="G64" s="253" t="s">
        <v>307</v>
      </c>
      <c r="H64" s="253">
        <v>523</v>
      </c>
      <c r="I64" s="318">
        <v>0.15</v>
      </c>
      <c r="J64" s="318" t="s">
        <v>42</v>
      </c>
      <c r="K64" s="318" t="s">
        <v>40</v>
      </c>
      <c r="L64" s="252"/>
      <c r="M64" s="253">
        <f t="shared" si="36"/>
        <v>0</v>
      </c>
      <c r="N64" s="394">
        <f t="shared" si="37"/>
        <v>0</v>
      </c>
      <c r="O64" s="252"/>
      <c r="P64" s="253">
        <f t="shared" si="35"/>
        <v>0</v>
      </c>
      <c r="Q64" s="394">
        <f t="shared" si="38"/>
        <v>0</v>
      </c>
      <c r="R64" s="252"/>
      <c r="S64" s="253">
        <f t="shared" si="39"/>
        <v>0</v>
      </c>
      <c r="T64" s="394">
        <f t="shared" si="40"/>
        <v>0</v>
      </c>
      <c r="U64" s="252"/>
      <c r="V64" s="253">
        <f t="shared" si="41"/>
        <v>0</v>
      </c>
      <c r="W64" s="394">
        <f t="shared" si="42"/>
        <v>0</v>
      </c>
      <c r="X64" s="378">
        <f t="shared" si="43"/>
        <v>0</v>
      </c>
      <c r="Y64" s="253">
        <f t="shared" si="44"/>
        <v>0</v>
      </c>
      <c r="Z64" s="394">
        <f t="shared" si="45"/>
        <v>0</v>
      </c>
      <c r="AA64" s="395">
        <f t="shared" si="46"/>
        <v>0</v>
      </c>
      <c r="AB64" s="319" t="s">
        <v>369</v>
      </c>
      <c r="AC64" s="252" t="s">
        <v>508</v>
      </c>
      <c r="AD64" s="252" t="s">
        <v>509</v>
      </c>
      <c r="AE64" s="319" t="s">
        <v>43</v>
      </c>
      <c r="AF64" s="397" t="s">
        <v>408</v>
      </c>
      <c r="AG64" s="372"/>
      <c r="AH64" s="274"/>
      <c r="AI64" s="275"/>
      <c r="AJ64" s="279"/>
      <c r="AK64" s="280"/>
      <c r="AL64" s="346"/>
      <c r="AM64" s="279"/>
      <c r="AN64" s="280"/>
      <c r="AO64" s="282"/>
      <c r="AP64" s="279"/>
      <c r="AQ64" s="280"/>
      <c r="AR64" s="282"/>
    </row>
    <row r="65" spans="2:44" s="237" customFormat="1" ht="69.75" thickBot="1" x14ac:dyDescent="0.3">
      <c r="B65" s="1446"/>
      <c r="C65" s="1447"/>
      <c r="D65" s="1447"/>
      <c r="E65" s="1454"/>
      <c r="F65" s="252" t="s">
        <v>636</v>
      </c>
      <c r="G65" s="253" t="s">
        <v>512</v>
      </c>
      <c r="H65" s="253">
        <v>500</v>
      </c>
      <c r="I65" s="318">
        <v>0.2</v>
      </c>
      <c r="J65" s="318" t="s">
        <v>42</v>
      </c>
      <c r="K65" s="318" t="s">
        <v>40</v>
      </c>
      <c r="L65" s="252"/>
      <c r="M65" s="253">
        <f t="shared" si="36"/>
        <v>0</v>
      </c>
      <c r="N65" s="394">
        <f t="shared" si="37"/>
        <v>0</v>
      </c>
      <c r="O65" s="252"/>
      <c r="P65" s="253">
        <f t="shared" si="35"/>
        <v>0</v>
      </c>
      <c r="Q65" s="394">
        <f t="shared" si="38"/>
        <v>0</v>
      </c>
      <c r="R65" s="252"/>
      <c r="S65" s="253">
        <f t="shared" si="39"/>
        <v>0</v>
      </c>
      <c r="T65" s="394">
        <f t="shared" si="40"/>
        <v>0</v>
      </c>
      <c r="U65" s="252"/>
      <c r="V65" s="253">
        <f t="shared" si="41"/>
        <v>0</v>
      </c>
      <c r="W65" s="394">
        <f t="shared" si="42"/>
        <v>0</v>
      </c>
      <c r="X65" s="378">
        <f t="shared" si="43"/>
        <v>0</v>
      </c>
      <c r="Y65" s="253">
        <f t="shared" si="44"/>
        <v>0</v>
      </c>
      <c r="Z65" s="394">
        <f t="shared" si="45"/>
        <v>0</v>
      </c>
      <c r="AA65" s="395">
        <f t="shared" si="46"/>
        <v>0</v>
      </c>
      <c r="AB65" s="319" t="s">
        <v>370</v>
      </c>
      <c r="AC65" s="252" t="s">
        <v>508</v>
      </c>
      <c r="AD65" s="252" t="s">
        <v>509</v>
      </c>
      <c r="AE65" s="319" t="s">
        <v>43</v>
      </c>
      <c r="AF65" s="397" t="s">
        <v>409</v>
      </c>
      <c r="AG65" s="358"/>
      <c r="AH65" s="268"/>
      <c r="AI65" s="269"/>
      <c r="AJ65" s="270"/>
      <c r="AK65" s="271"/>
      <c r="AL65" s="272"/>
      <c r="AM65" s="270"/>
      <c r="AN65" s="271"/>
      <c r="AO65" s="273"/>
      <c r="AP65" s="270"/>
      <c r="AQ65" s="271"/>
      <c r="AR65" s="273"/>
    </row>
    <row r="66" spans="2:44" s="237" customFormat="1" ht="69" x14ac:dyDescent="0.25">
      <c r="B66" s="1446" t="s">
        <v>594</v>
      </c>
      <c r="C66" s="1447">
        <v>15</v>
      </c>
      <c r="D66" s="1447" t="s">
        <v>230</v>
      </c>
      <c r="E66" s="1454">
        <v>0.25</v>
      </c>
      <c r="F66" s="252" t="s">
        <v>576</v>
      </c>
      <c r="G66" s="253" t="s">
        <v>345</v>
      </c>
      <c r="H66" s="360">
        <v>0</v>
      </c>
      <c r="I66" s="318">
        <v>0.5</v>
      </c>
      <c r="J66" s="318" t="s">
        <v>42</v>
      </c>
      <c r="K66" s="318" t="s">
        <v>40</v>
      </c>
      <c r="L66" s="252"/>
      <c r="M66" s="253">
        <f t="shared" si="36"/>
        <v>0</v>
      </c>
      <c r="N66" s="394">
        <f t="shared" si="37"/>
        <v>0</v>
      </c>
      <c r="O66" s="252"/>
      <c r="P66" s="253">
        <f t="shared" si="35"/>
        <v>0</v>
      </c>
      <c r="Q66" s="394">
        <f t="shared" si="38"/>
        <v>0</v>
      </c>
      <c r="R66" s="252"/>
      <c r="S66" s="253">
        <f t="shared" si="39"/>
        <v>0</v>
      </c>
      <c r="T66" s="394">
        <f t="shared" si="40"/>
        <v>0</v>
      </c>
      <c r="U66" s="252"/>
      <c r="V66" s="253">
        <f t="shared" si="41"/>
        <v>0</v>
      </c>
      <c r="W66" s="394">
        <f t="shared" si="42"/>
        <v>0</v>
      </c>
      <c r="X66" s="378">
        <f t="shared" si="43"/>
        <v>0</v>
      </c>
      <c r="Y66" s="253">
        <f t="shared" si="44"/>
        <v>0</v>
      </c>
      <c r="Z66" s="394">
        <f t="shared" si="45"/>
        <v>0</v>
      </c>
      <c r="AA66" s="395">
        <f t="shared" si="46"/>
        <v>0</v>
      </c>
      <c r="AB66" s="319" t="s">
        <v>590</v>
      </c>
      <c r="AC66" s="252" t="s">
        <v>371</v>
      </c>
      <c r="AD66" s="252" t="s">
        <v>372</v>
      </c>
      <c r="AE66" s="319" t="s">
        <v>43</v>
      </c>
      <c r="AF66" s="397" t="s">
        <v>410</v>
      </c>
      <c r="AG66" s="405"/>
      <c r="AH66" s="349"/>
      <c r="AI66" s="362"/>
      <c r="AJ66" s="363"/>
      <c r="AK66" s="352"/>
      <c r="AL66" s="366"/>
      <c r="AM66" s="363"/>
      <c r="AN66" s="352"/>
      <c r="AO66" s="365"/>
      <c r="AP66" s="363"/>
      <c r="AQ66" s="352"/>
      <c r="AR66" s="365"/>
    </row>
    <row r="67" spans="2:44" s="237" customFormat="1" ht="69.75" thickBot="1" x14ac:dyDescent="0.3">
      <c r="B67" s="1446"/>
      <c r="C67" s="1447"/>
      <c r="D67" s="1447"/>
      <c r="E67" s="1454"/>
      <c r="F67" s="252" t="s">
        <v>577</v>
      </c>
      <c r="G67" s="253" t="s">
        <v>313</v>
      </c>
      <c r="H67" s="360">
        <v>0</v>
      </c>
      <c r="I67" s="318">
        <v>0.5</v>
      </c>
      <c r="J67" s="318" t="s">
        <v>42</v>
      </c>
      <c r="K67" s="318" t="s">
        <v>40</v>
      </c>
      <c r="L67" s="252"/>
      <c r="M67" s="253">
        <f t="shared" si="36"/>
        <v>0</v>
      </c>
      <c r="N67" s="394">
        <f t="shared" si="37"/>
        <v>0</v>
      </c>
      <c r="O67" s="252"/>
      <c r="P67" s="253">
        <f t="shared" si="35"/>
        <v>0</v>
      </c>
      <c r="Q67" s="394">
        <f t="shared" si="38"/>
        <v>0</v>
      </c>
      <c r="R67" s="252"/>
      <c r="S67" s="253">
        <f t="shared" si="39"/>
        <v>0</v>
      </c>
      <c r="T67" s="394">
        <f t="shared" si="40"/>
        <v>0</v>
      </c>
      <c r="U67" s="252"/>
      <c r="V67" s="253">
        <f t="shared" si="41"/>
        <v>0</v>
      </c>
      <c r="W67" s="394">
        <f t="shared" si="42"/>
        <v>0</v>
      </c>
      <c r="X67" s="378">
        <f t="shared" si="43"/>
        <v>0</v>
      </c>
      <c r="Y67" s="253">
        <f t="shared" si="44"/>
        <v>0</v>
      </c>
      <c r="Z67" s="394">
        <f t="shared" si="45"/>
        <v>0</v>
      </c>
      <c r="AA67" s="395">
        <f t="shared" si="46"/>
        <v>0</v>
      </c>
      <c r="AB67" s="319" t="s">
        <v>373</v>
      </c>
      <c r="AC67" s="252" t="s">
        <v>374</v>
      </c>
      <c r="AD67" s="252" t="s">
        <v>375</v>
      </c>
      <c r="AE67" s="319" t="s">
        <v>43</v>
      </c>
      <c r="AF67" s="397" t="s">
        <v>411</v>
      </c>
      <c r="AG67" s="358"/>
      <c r="AH67" s="268"/>
      <c r="AI67" s="269"/>
      <c r="AJ67" s="270"/>
      <c r="AK67" s="271"/>
      <c r="AL67" s="272"/>
      <c r="AM67" s="270"/>
      <c r="AN67" s="271"/>
      <c r="AO67" s="273"/>
      <c r="AP67" s="270"/>
      <c r="AQ67" s="271"/>
      <c r="AR67" s="273"/>
    </row>
    <row r="68" spans="2:44" s="237" customFormat="1" ht="69" x14ac:dyDescent="0.25">
      <c r="B68" s="1446"/>
      <c r="C68" s="1447">
        <v>16</v>
      </c>
      <c r="D68" s="1447" t="s">
        <v>229</v>
      </c>
      <c r="E68" s="1454">
        <v>0.25</v>
      </c>
      <c r="F68" s="252" t="s">
        <v>578</v>
      </c>
      <c r="G68" s="253" t="s">
        <v>284</v>
      </c>
      <c r="H68" s="253">
        <v>20</v>
      </c>
      <c r="I68" s="318">
        <v>0.5</v>
      </c>
      <c r="J68" s="318" t="s">
        <v>42</v>
      </c>
      <c r="K68" s="318" t="s">
        <v>40</v>
      </c>
      <c r="L68" s="252"/>
      <c r="M68" s="253">
        <f t="shared" si="36"/>
        <v>0</v>
      </c>
      <c r="N68" s="394">
        <f t="shared" si="37"/>
        <v>0</v>
      </c>
      <c r="O68" s="252"/>
      <c r="P68" s="253">
        <f t="shared" si="35"/>
        <v>0</v>
      </c>
      <c r="Q68" s="394">
        <f t="shared" si="38"/>
        <v>0</v>
      </c>
      <c r="R68" s="252"/>
      <c r="S68" s="253">
        <f t="shared" si="39"/>
        <v>0</v>
      </c>
      <c r="T68" s="394">
        <f t="shared" si="40"/>
        <v>0</v>
      </c>
      <c r="U68" s="252"/>
      <c r="V68" s="253">
        <f t="shared" si="41"/>
        <v>0</v>
      </c>
      <c r="W68" s="394">
        <f t="shared" si="42"/>
        <v>0</v>
      </c>
      <c r="X68" s="378">
        <f t="shared" si="43"/>
        <v>0</v>
      </c>
      <c r="Y68" s="253">
        <f t="shared" si="44"/>
        <v>0</v>
      </c>
      <c r="Z68" s="394">
        <f t="shared" si="45"/>
        <v>0</v>
      </c>
      <c r="AA68" s="395">
        <f t="shared" si="46"/>
        <v>0</v>
      </c>
      <c r="AB68" s="319" t="s">
        <v>348</v>
      </c>
      <c r="AC68" s="252" t="s">
        <v>346</v>
      </c>
      <c r="AD68" s="252" t="s">
        <v>347</v>
      </c>
      <c r="AE68" s="319" t="s">
        <v>43</v>
      </c>
      <c r="AF68" s="397" t="s">
        <v>412</v>
      </c>
      <c r="AG68" s="405"/>
      <c r="AH68" s="349"/>
      <c r="AI68" s="362"/>
      <c r="AJ68" s="363"/>
      <c r="AK68" s="352"/>
      <c r="AL68" s="366"/>
      <c r="AM68" s="363"/>
      <c r="AN68" s="352"/>
      <c r="AO68" s="365"/>
      <c r="AP68" s="363"/>
      <c r="AQ68" s="352"/>
      <c r="AR68" s="365"/>
    </row>
    <row r="69" spans="2:44" s="237" customFormat="1" ht="87" thickBot="1" x14ac:dyDescent="0.3">
      <c r="B69" s="1446"/>
      <c r="C69" s="1447"/>
      <c r="D69" s="1447"/>
      <c r="E69" s="1454"/>
      <c r="F69" s="252" t="s">
        <v>579</v>
      </c>
      <c r="G69" s="253" t="s">
        <v>516</v>
      </c>
      <c r="H69" s="253">
        <v>431</v>
      </c>
      <c r="I69" s="318">
        <v>0.5</v>
      </c>
      <c r="J69" s="318" t="s">
        <v>42</v>
      </c>
      <c r="K69" s="318" t="s">
        <v>40</v>
      </c>
      <c r="L69" s="252"/>
      <c r="M69" s="253">
        <f t="shared" si="36"/>
        <v>0</v>
      </c>
      <c r="N69" s="394">
        <f t="shared" si="37"/>
        <v>0</v>
      </c>
      <c r="O69" s="252"/>
      <c r="P69" s="253">
        <f t="shared" si="35"/>
        <v>0</v>
      </c>
      <c r="Q69" s="394">
        <f t="shared" si="38"/>
        <v>0</v>
      </c>
      <c r="R69" s="252"/>
      <c r="S69" s="253">
        <f t="shared" si="39"/>
        <v>0</v>
      </c>
      <c r="T69" s="394">
        <f t="shared" si="40"/>
        <v>0</v>
      </c>
      <c r="U69" s="252"/>
      <c r="V69" s="253">
        <f t="shared" si="41"/>
        <v>0</v>
      </c>
      <c r="W69" s="394">
        <f t="shared" si="42"/>
        <v>0</v>
      </c>
      <c r="X69" s="378">
        <f t="shared" si="43"/>
        <v>0</v>
      </c>
      <c r="Y69" s="253">
        <f t="shared" si="44"/>
        <v>0</v>
      </c>
      <c r="Z69" s="394">
        <f t="shared" si="45"/>
        <v>0</v>
      </c>
      <c r="AA69" s="395">
        <f t="shared" si="46"/>
        <v>0</v>
      </c>
      <c r="AB69" s="319" t="s">
        <v>349</v>
      </c>
      <c r="AC69" s="252" t="s">
        <v>510</v>
      </c>
      <c r="AD69" s="252" t="s">
        <v>511</v>
      </c>
      <c r="AE69" s="319" t="s">
        <v>43</v>
      </c>
      <c r="AF69" s="397" t="s">
        <v>408</v>
      </c>
      <c r="AG69" s="358"/>
      <c r="AH69" s="268"/>
      <c r="AI69" s="269"/>
      <c r="AJ69" s="270"/>
      <c r="AK69" s="271"/>
      <c r="AL69" s="272"/>
      <c r="AM69" s="270"/>
      <c r="AN69" s="271"/>
      <c r="AO69" s="273"/>
      <c r="AP69" s="270"/>
      <c r="AQ69" s="271"/>
      <c r="AR69" s="273"/>
    </row>
    <row r="70" spans="2:44" s="237" customFormat="1" ht="120.75" x14ac:dyDescent="0.25">
      <c r="B70" s="1446" t="s">
        <v>598</v>
      </c>
      <c r="C70" s="1447">
        <v>17</v>
      </c>
      <c r="D70" s="1447" t="s">
        <v>233</v>
      </c>
      <c r="E70" s="1449">
        <v>0.5</v>
      </c>
      <c r="F70" s="252" t="s">
        <v>580</v>
      </c>
      <c r="G70" s="253" t="s">
        <v>259</v>
      </c>
      <c r="H70" s="318">
        <f>(13/14)</f>
        <v>0.9285714285714286</v>
      </c>
      <c r="I70" s="318">
        <v>0.25</v>
      </c>
      <c r="J70" s="318" t="s">
        <v>42</v>
      </c>
      <c r="K70" s="318" t="s">
        <v>40</v>
      </c>
      <c r="L70" s="252"/>
      <c r="M70" s="253">
        <f>IF(J70="Cantidad",AG70,IF(ISERROR(AG70/AH70),0,AG70/AH70))</f>
        <v>0</v>
      </c>
      <c r="N70" s="394">
        <f>IF(ISERROR(M70/L70),0,(M70/L70))</f>
        <v>0</v>
      </c>
      <c r="O70" s="252"/>
      <c r="P70" s="253">
        <f>IF(M70="Cantidad",AJ70,IF(ISERROR(AJ70/AK70),0,AJ70/AK70))</f>
        <v>0</v>
      </c>
      <c r="Q70" s="394">
        <f>IF(ISERROR(P70/O70),0,(P70/O70))</f>
        <v>0</v>
      </c>
      <c r="R70" s="252"/>
      <c r="S70" s="253">
        <f>IF(J70="Cantidad",AM70,IF(ISERROR(AM70/AN70),0,AM70/AN70))</f>
        <v>0</v>
      </c>
      <c r="T70" s="394">
        <f>IF(ISERROR(S70/R70),0,(S70/R70))</f>
        <v>0</v>
      </c>
      <c r="U70" s="252"/>
      <c r="V70" s="253">
        <f>IF(J70="Cantidad",AP70,IF(ISERROR(AP70/AQ70),0,AP70/AQ70))</f>
        <v>0</v>
      </c>
      <c r="W70" s="394">
        <f>IF(ISERROR(V70/U70),0,(V70/U70))</f>
        <v>0</v>
      </c>
      <c r="X70" s="378">
        <f>IF(K70="SUMA",(L70+O70+R70+U70),(L70))</f>
        <v>0</v>
      </c>
      <c r="Y70" s="253">
        <f t="shared" si="44"/>
        <v>0</v>
      </c>
      <c r="Z70" s="394">
        <f t="shared" si="45"/>
        <v>0</v>
      </c>
      <c r="AA70" s="395">
        <f t="shared" si="46"/>
        <v>0</v>
      </c>
      <c r="AB70" s="319" t="s">
        <v>350</v>
      </c>
      <c r="AC70" s="252" t="s">
        <v>517</v>
      </c>
      <c r="AD70" s="252" t="s">
        <v>518</v>
      </c>
      <c r="AE70" s="319" t="s">
        <v>43</v>
      </c>
      <c r="AF70" s="397" t="s">
        <v>423</v>
      </c>
      <c r="AG70" s="317"/>
      <c r="AH70" s="276"/>
      <c r="AI70" s="278"/>
      <c r="AJ70" s="339"/>
      <c r="AK70" s="340"/>
      <c r="AL70" s="341"/>
      <c r="AM70" s="339"/>
      <c r="AN70" s="340"/>
      <c r="AO70" s="289"/>
      <c r="AP70" s="339"/>
      <c r="AQ70" s="340"/>
      <c r="AR70" s="289"/>
    </row>
    <row r="71" spans="2:44" s="237" customFormat="1" ht="69" x14ac:dyDescent="0.25">
      <c r="B71" s="1446"/>
      <c r="C71" s="1447"/>
      <c r="D71" s="1447"/>
      <c r="E71" s="1449"/>
      <c r="F71" s="252" t="s">
        <v>581</v>
      </c>
      <c r="G71" s="253" t="s">
        <v>297</v>
      </c>
      <c r="H71" s="318">
        <v>1</v>
      </c>
      <c r="I71" s="318">
        <v>0.25</v>
      </c>
      <c r="J71" s="318" t="s">
        <v>42</v>
      </c>
      <c r="K71" s="318" t="s">
        <v>106</v>
      </c>
      <c r="L71" s="252"/>
      <c r="M71" s="253"/>
      <c r="N71" s="394"/>
      <c r="O71" s="252"/>
      <c r="P71" s="253"/>
      <c r="Q71" s="394"/>
      <c r="R71" s="252"/>
      <c r="S71" s="253"/>
      <c r="T71" s="394"/>
      <c r="U71" s="252"/>
      <c r="V71" s="253"/>
      <c r="W71" s="394"/>
      <c r="X71" s="378"/>
      <c r="Y71" s="253"/>
      <c r="Z71" s="394"/>
      <c r="AA71" s="395"/>
      <c r="AB71" s="319" t="s">
        <v>351</v>
      </c>
      <c r="AC71" s="252" t="s">
        <v>519</v>
      </c>
      <c r="AD71" s="252" t="s">
        <v>520</v>
      </c>
      <c r="AE71" s="319" t="s">
        <v>43</v>
      </c>
      <c r="AF71" s="397" t="s">
        <v>413</v>
      </c>
      <c r="AG71" s="312"/>
      <c r="AH71" s="348"/>
      <c r="AI71" s="367"/>
      <c r="AJ71" s="368"/>
      <c r="AK71" s="369"/>
      <c r="AL71" s="370"/>
      <c r="AM71" s="368"/>
      <c r="AN71" s="369"/>
      <c r="AO71" s="371"/>
      <c r="AP71" s="368"/>
      <c r="AQ71" s="369"/>
      <c r="AR71" s="371"/>
    </row>
    <row r="72" spans="2:44" s="237" customFormat="1" ht="69" x14ac:dyDescent="0.25">
      <c r="B72" s="1446"/>
      <c r="C72" s="1447"/>
      <c r="D72" s="1447"/>
      <c r="E72" s="1449"/>
      <c r="F72" s="252" t="s">
        <v>582</v>
      </c>
      <c r="G72" s="253" t="s">
        <v>298</v>
      </c>
      <c r="H72" s="318">
        <v>1</v>
      </c>
      <c r="I72" s="318">
        <v>0.25</v>
      </c>
      <c r="J72" s="318" t="s">
        <v>42</v>
      </c>
      <c r="K72" s="318" t="s">
        <v>40</v>
      </c>
      <c r="L72" s="252">
        <v>1</v>
      </c>
      <c r="M72" s="253">
        <f>IF(J72="Cantidad",AG72,IF(ISERROR(AG72/AH72),0,AG72/AH72))</f>
        <v>0</v>
      </c>
      <c r="N72" s="394">
        <f>IF(ISERROR(M72/L72),0,(M72/L72))</f>
        <v>0</v>
      </c>
      <c r="O72" s="252">
        <v>1</v>
      </c>
      <c r="P72" s="253">
        <f>IF(M72="Cantidad",AJ72,IF(ISERROR(AJ72/AK72),0,AJ72/AK72))</f>
        <v>0</v>
      </c>
      <c r="Q72" s="394">
        <f>IF(ISERROR(P72/O72),0,(P72/O72))</f>
        <v>0</v>
      </c>
      <c r="R72" s="252">
        <v>1</v>
      </c>
      <c r="S72" s="253">
        <f>IF(J72="Cantidad",AM72,IF(ISERROR(AM72/AN72),0,AM72/AN72))</f>
        <v>0</v>
      </c>
      <c r="T72" s="394">
        <f>IF(ISERROR(S72/R72),0,(S72/R72))</f>
        <v>0</v>
      </c>
      <c r="U72" s="252">
        <v>1</v>
      </c>
      <c r="V72" s="253">
        <f>IF(J72="Cantidad",AP72,IF(ISERROR(AP72/AQ72),0,AP72/AQ72))</f>
        <v>0</v>
      </c>
      <c r="W72" s="394">
        <f>IF(ISERROR(V72/U72),0,(V72/U72))</f>
        <v>0</v>
      </c>
      <c r="X72" s="409">
        <f>IF(K72="SUMA",(L72+O72+R72+U72),(L72))</f>
        <v>4</v>
      </c>
      <c r="Y72" s="253">
        <f t="shared" si="44"/>
        <v>0</v>
      </c>
      <c r="Z72" s="394">
        <f t="shared" si="45"/>
        <v>0</v>
      </c>
      <c r="AA72" s="395">
        <f t="shared" si="46"/>
        <v>0</v>
      </c>
      <c r="AB72" s="319" t="s">
        <v>376</v>
      </c>
      <c r="AC72" s="252" t="s">
        <v>421</v>
      </c>
      <c r="AD72" s="252" t="s">
        <v>422</v>
      </c>
      <c r="AE72" s="319" t="s">
        <v>43</v>
      </c>
      <c r="AF72" s="397" t="s">
        <v>414</v>
      </c>
      <c r="AG72" s="372"/>
      <c r="AH72" s="274"/>
      <c r="AI72" s="275"/>
      <c r="AJ72" s="279"/>
      <c r="AK72" s="280"/>
      <c r="AL72" s="281"/>
      <c r="AM72" s="279"/>
      <c r="AN72" s="280"/>
      <c r="AO72" s="282"/>
      <c r="AP72" s="279"/>
      <c r="AQ72" s="280"/>
      <c r="AR72" s="282"/>
    </row>
    <row r="73" spans="2:44" s="237" customFormat="1" ht="87" thickBot="1" x14ac:dyDescent="0.3">
      <c r="B73" s="1446"/>
      <c r="C73" s="1447"/>
      <c r="D73" s="1447"/>
      <c r="E73" s="1449"/>
      <c r="F73" s="252" t="s">
        <v>583</v>
      </c>
      <c r="G73" s="253" t="s">
        <v>609</v>
      </c>
      <c r="H73" s="318">
        <v>0.4</v>
      </c>
      <c r="I73" s="318">
        <v>0.25</v>
      </c>
      <c r="J73" s="318" t="s">
        <v>39</v>
      </c>
      <c r="K73" s="318" t="s">
        <v>40</v>
      </c>
      <c r="L73" s="318"/>
      <c r="M73" s="253">
        <f t="shared" ref="M73" si="47">IF(J73="Cantidad",AG73,IF(ISERROR(AG73/AH73),0,AG73/AH73))</f>
        <v>0</v>
      </c>
      <c r="N73" s="394">
        <f t="shared" ref="N73" si="48">IF(ISERROR(M73/L73),0,(M73/L73))</f>
        <v>0</v>
      </c>
      <c r="O73" s="318"/>
      <c r="P73" s="253">
        <f t="shared" ref="P73:P78" si="49">IF(M73="Cantidad",AJ73,IF(ISERROR(AJ73/AK73),0,AJ73/AK73))</f>
        <v>0</v>
      </c>
      <c r="Q73" s="394">
        <f t="shared" ref="Q73" si="50">IF(ISERROR(P73/O73),0,(P73/O73))</f>
        <v>0</v>
      </c>
      <c r="R73" s="318"/>
      <c r="S73" s="253">
        <f t="shared" ref="S73" si="51">IF(J73="Cantidad",AM73,IF(ISERROR(AM73/AN73),0,AM73/AN73))</f>
        <v>0</v>
      </c>
      <c r="T73" s="394">
        <f t="shared" ref="T73" si="52">IF(ISERROR(S73/R73),0,(S73/R73))</f>
        <v>0</v>
      </c>
      <c r="U73" s="318"/>
      <c r="V73" s="253">
        <f t="shared" ref="V73" si="53">IF(J73="Cantidad",AP73,IF(ISERROR(AP73/AQ73),0,AP73/AQ73))</f>
        <v>0</v>
      </c>
      <c r="W73" s="394">
        <f t="shared" ref="W73" si="54">IF(ISERROR(V73/U73),0,(V73/U73))</f>
        <v>0</v>
      </c>
      <c r="X73" s="409">
        <f>IF(K73="PORCENTAJE",(L73+O73+R73+U73),(L73))</f>
        <v>0</v>
      </c>
      <c r="Y73" s="253">
        <f t="shared" si="44"/>
        <v>0</v>
      </c>
      <c r="Z73" s="394">
        <f t="shared" si="45"/>
        <v>0</v>
      </c>
      <c r="AA73" s="395">
        <f t="shared" si="46"/>
        <v>0</v>
      </c>
      <c r="AB73" s="319" t="s">
        <v>555</v>
      </c>
      <c r="AC73" s="252" t="s">
        <v>556</v>
      </c>
      <c r="AD73" s="252" t="s">
        <v>557</v>
      </c>
      <c r="AE73" s="319" t="s">
        <v>43</v>
      </c>
      <c r="AF73" s="397" t="s">
        <v>558</v>
      </c>
      <c r="AG73" s="373"/>
      <c r="AH73" s="258"/>
      <c r="AI73" s="258"/>
      <c r="AJ73" s="261"/>
      <c r="AK73" s="261"/>
      <c r="AL73" s="374"/>
      <c r="AM73" s="261"/>
      <c r="AN73" s="261"/>
      <c r="AO73" s="261"/>
      <c r="AP73" s="261"/>
      <c r="AQ73" s="261"/>
      <c r="AR73" s="261"/>
    </row>
    <row r="74" spans="2:44" s="237" customFormat="1" ht="69" x14ac:dyDescent="0.25">
      <c r="B74" s="1446" t="s">
        <v>211</v>
      </c>
      <c r="C74" s="1447">
        <v>18</v>
      </c>
      <c r="D74" s="1447" t="s">
        <v>234</v>
      </c>
      <c r="E74" s="1449">
        <v>0.5</v>
      </c>
      <c r="F74" s="252" t="s">
        <v>584</v>
      </c>
      <c r="G74" s="253" t="s">
        <v>521</v>
      </c>
      <c r="H74" s="253">
        <v>85</v>
      </c>
      <c r="I74" s="318">
        <v>0.2</v>
      </c>
      <c r="J74" s="318" t="s">
        <v>39</v>
      </c>
      <c r="K74" s="318" t="s">
        <v>40</v>
      </c>
      <c r="L74" s="253"/>
      <c r="M74" s="253">
        <f>IF(J74="Cantidad",AG74,IF(ISERROR(AG74/AH74),0,AG74/AH74))</f>
        <v>0</v>
      </c>
      <c r="N74" s="394">
        <v>-8.8000000000000005E-3</v>
      </c>
      <c r="O74" s="252"/>
      <c r="P74" s="253">
        <f t="shared" si="49"/>
        <v>0</v>
      </c>
      <c r="Q74" s="394">
        <v>8.3299999999999999E-2</v>
      </c>
      <c r="R74" s="252"/>
      <c r="S74" s="253">
        <f>IF(J74="Cantidad",AM74,IF(ISERROR(AM74/AN74),0,AM74/AN74))</f>
        <v>0</v>
      </c>
      <c r="T74" s="394">
        <f>IF(ISERROR(S74/R74),0,(S74/R74))</f>
        <v>0</v>
      </c>
      <c r="U74" s="252"/>
      <c r="V74" s="253">
        <f>IF(J74="Cantidad",AP74,IF(ISERROR(AP74/AQ74),0,AP74/AQ74))</f>
        <v>0</v>
      </c>
      <c r="W74" s="394">
        <f>IF(ISERROR(V74/U74),0,(V74/U74))</f>
        <v>0</v>
      </c>
      <c r="X74" s="378">
        <f>IF(K74="SUMA",(L74+O74+R74+U74),(L74))</f>
        <v>0</v>
      </c>
      <c r="Y74" s="253">
        <f t="shared" si="44"/>
        <v>0</v>
      </c>
      <c r="Z74" s="394">
        <f t="shared" si="45"/>
        <v>0</v>
      </c>
      <c r="AA74" s="395">
        <f t="shared" si="46"/>
        <v>0</v>
      </c>
      <c r="AB74" s="319" t="s">
        <v>522</v>
      </c>
      <c r="AC74" s="252" t="s">
        <v>354</v>
      </c>
      <c r="AD74" s="252" t="s">
        <v>355</v>
      </c>
      <c r="AE74" s="319" t="s">
        <v>43</v>
      </c>
      <c r="AF74" s="397" t="s">
        <v>416</v>
      </c>
      <c r="AG74" s="357"/>
      <c r="AH74" s="286"/>
      <c r="AI74" s="278"/>
      <c r="AJ74" s="375"/>
      <c r="AK74" s="287"/>
      <c r="AL74" s="376"/>
      <c r="AM74" s="375"/>
      <c r="AN74" s="287"/>
      <c r="AO74" s="289"/>
      <c r="AP74" s="375"/>
      <c r="AQ74" s="287"/>
      <c r="AR74" s="289"/>
    </row>
    <row r="75" spans="2:44" s="237" customFormat="1" ht="87" thickBot="1" x14ac:dyDescent="0.3">
      <c r="B75" s="1446"/>
      <c r="C75" s="1447"/>
      <c r="D75" s="1447"/>
      <c r="E75" s="1449"/>
      <c r="F75" s="252" t="s">
        <v>637</v>
      </c>
      <c r="G75" s="253" t="s">
        <v>261</v>
      </c>
      <c r="H75" s="253">
        <v>4</v>
      </c>
      <c r="I75" s="318">
        <v>0.2</v>
      </c>
      <c r="J75" s="318" t="s">
        <v>42</v>
      </c>
      <c r="K75" s="318" t="s">
        <v>40</v>
      </c>
      <c r="L75" s="253">
        <v>1</v>
      </c>
      <c r="M75" s="253">
        <f>IF(J75="Cantidad",AG75,IF(ISERROR(AG75/AH75),0,AG75/AH75))</f>
        <v>0</v>
      </c>
      <c r="N75" s="394">
        <f>IF(ISERROR(M75/L75),0,(M75/L75))</f>
        <v>0</v>
      </c>
      <c r="O75" s="252">
        <v>1</v>
      </c>
      <c r="P75" s="253">
        <f t="shared" si="49"/>
        <v>0</v>
      </c>
      <c r="Q75" s="394">
        <f>IF(ISERROR(P75/O75),0,(P75/O75))</f>
        <v>0</v>
      </c>
      <c r="R75" s="252">
        <v>1</v>
      </c>
      <c r="S75" s="253">
        <f>IF(J75="Cantidad",AM75,IF(ISERROR(AM75/AN75),0,AM75/AN75))</f>
        <v>0</v>
      </c>
      <c r="T75" s="394">
        <f>IF(ISERROR(S75/R75),0,(S75/R75))</f>
        <v>0</v>
      </c>
      <c r="U75" s="252">
        <v>1</v>
      </c>
      <c r="V75" s="253">
        <f>IF(J75="Cantidad",AP75,IF(ISERROR(AP75/AQ75),0,AP75/AQ75))</f>
        <v>0</v>
      </c>
      <c r="W75" s="394">
        <f>IF(ISERROR(V75/U75),0,(V75/U75))</f>
        <v>0</v>
      </c>
      <c r="X75" s="378">
        <f>IF(K75="SUMA",(L75+O75+R75+U75),(L75))</f>
        <v>4</v>
      </c>
      <c r="Y75" s="253">
        <f t="shared" si="44"/>
        <v>0</v>
      </c>
      <c r="Z75" s="394">
        <f t="shared" si="45"/>
        <v>0</v>
      </c>
      <c r="AA75" s="395">
        <f t="shared" si="46"/>
        <v>0</v>
      </c>
      <c r="AB75" s="319" t="s">
        <v>377</v>
      </c>
      <c r="AC75" s="252" t="s">
        <v>523</v>
      </c>
      <c r="AD75" s="252" t="s">
        <v>524</v>
      </c>
      <c r="AE75" s="319" t="s">
        <v>43</v>
      </c>
      <c r="AF75" s="397" t="s">
        <v>415</v>
      </c>
      <c r="AG75" s="358"/>
      <c r="AH75" s="268"/>
      <c r="AI75" s="269"/>
      <c r="AJ75" s="270"/>
      <c r="AK75" s="271"/>
      <c r="AL75" s="272"/>
      <c r="AM75" s="270"/>
      <c r="AN75" s="271"/>
      <c r="AO75" s="273"/>
      <c r="AP75" s="270"/>
      <c r="AQ75" s="271"/>
      <c r="AR75" s="273"/>
    </row>
    <row r="76" spans="2:44" s="237" customFormat="1" ht="69.75" thickBot="1" x14ac:dyDescent="0.3">
      <c r="B76" s="1446"/>
      <c r="C76" s="1447"/>
      <c r="D76" s="1447"/>
      <c r="E76" s="1449"/>
      <c r="F76" s="252" t="s">
        <v>638</v>
      </c>
      <c r="G76" s="253" t="s">
        <v>260</v>
      </c>
      <c r="H76" s="253">
        <v>11</v>
      </c>
      <c r="I76" s="318">
        <v>0.2</v>
      </c>
      <c r="J76" s="318" t="s">
        <v>42</v>
      </c>
      <c r="K76" s="318" t="s">
        <v>40</v>
      </c>
      <c r="L76" s="253">
        <v>2</v>
      </c>
      <c r="M76" s="253">
        <f t="shared" ref="M76:M78" si="55">IF(J76="Cantidad",AG76,IF(ISERROR(AG76/AH76),0,AG76/AH76))</f>
        <v>0</v>
      </c>
      <c r="N76" s="394">
        <f t="shared" ref="N76:N78" si="56">IF(ISERROR(M76/L76),0,(M76/L76))</f>
        <v>0</v>
      </c>
      <c r="O76" s="252">
        <v>3</v>
      </c>
      <c r="P76" s="253">
        <f t="shared" si="49"/>
        <v>0</v>
      </c>
      <c r="Q76" s="394">
        <f t="shared" ref="Q76:Q78" si="57">IF(ISERROR(P76/O76),0,(P76/O76))</f>
        <v>0</v>
      </c>
      <c r="R76" s="252">
        <v>3</v>
      </c>
      <c r="S76" s="253">
        <f t="shared" ref="S76:S78" si="58">IF(J76="Cantidad",AM76,IF(ISERROR(AM76/AN76),0,AM76/AN76))</f>
        <v>0</v>
      </c>
      <c r="T76" s="394">
        <f t="shared" ref="T76:T78" si="59">IF(ISERROR(S76/R76),0,(S76/R76))</f>
        <v>0</v>
      </c>
      <c r="U76" s="252">
        <v>3</v>
      </c>
      <c r="V76" s="253">
        <f t="shared" ref="V76:V78" si="60">IF(J76="Cantidad",AP76,IF(ISERROR(AP76/AQ76),0,AP76/AQ76))</f>
        <v>0</v>
      </c>
      <c r="W76" s="394">
        <f t="shared" ref="W76:W78" si="61">IF(ISERROR(V76/U76),0,(V76/U76))</f>
        <v>0</v>
      </c>
      <c r="X76" s="378">
        <f t="shared" ref="X76:X78" si="62">IF(K76="SUMA",(L76+O76+R76+U76),(L76))</f>
        <v>11</v>
      </c>
      <c r="Y76" s="253">
        <f t="shared" si="44"/>
        <v>0</v>
      </c>
      <c r="Z76" s="394">
        <f t="shared" si="45"/>
        <v>0</v>
      </c>
      <c r="AA76" s="395">
        <f t="shared" si="46"/>
        <v>0</v>
      </c>
      <c r="AB76" s="319" t="s">
        <v>378</v>
      </c>
      <c r="AC76" s="252" t="s">
        <v>525</v>
      </c>
      <c r="AD76" s="252" t="s">
        <v>526</v>
      </c>
      <c r="AE76" s="319" t="s">
        <v>43</v>
      </c>
      <c r="AF76" s="397" t="s">
        <v>417</v>
      </c>
      <c r="AG76" s="358"/>
      <c r="AH76" s="268"/>
      <c r="AI76" s="269"/>
      <c r="AJ76" s="270"/>
      <c r="AK76" s="271"/>
      <c r="AL76" s="272"/>
      <c r="AM76" s="270"/>
      <c r="AN76" s="271"/>
      <c r="AO76" s="273"/>
      <c r="AP76" s="270"/>
      <c r="AQ76" s="271"/>
      <c r="AR76" s="273"/>
    </row>
    <row r="77" spans="2:44" s="237" customFormat="1" ht="69.75" thickBot="1" x14ac:dyDescent="0.3">
      <c r="B77" s="1446"/>
      <c r="C77" s="1447"/>
      <c r="D77" s="1447"/>
      <c r="E77" s="1449"/>
      <c r="F77" s="252" t="s">
        <v>639</v>
      </c>
      <c r="G77" s="253" t="s">
        <v>527</v>
      </c>
      <c r="H77" s="318">
        <v>1</v>
      </c>
      <c r="I77" s="318">
        <v>0.2</v>
      </c>
      <c r="J77" s="318" t="s">
        <v>39</v>
      </c>
      <c r="K77" s="318" t="s">
        <v>106</v>
      </c>
      <c r="L77" s="318">
        <v>0</v>
      </c>
      <c r="M77" s="253">
        <f t="shared" si="55"/>
        <v>0</v>
      </c>
      <c r="N77" s="394">
        <f t="shared" si="56"/>
        <v>0</v>
      </c>
      <c r="O77" s="318">
        <v>0</v>
      </c>
      <c r="P77" s="253">
        <f t="shared" si="49"/>
        <v>0</v>
      </c>
      <c r="Q77" s="394">
        <f t="shared" si="57"/>
        <v>0</v>
      </c>
      <c r="R77" s="318">
        <v>0</v>
      </c>
      <c r="S77" s="253">
        <f>IF(J77="Cantidad",AM77,IF(ISERROR(AM77/AN77),0,AM77/AN77))</f>
        <v>0</v>
      </c>
      <c r="T77" s="394">
        <f t="shared" si="59"/>
        <v>0</v>
      </c>
      <c r="U77" s="318">
        <v>0</v>
      </c>
      <c r="V77" s="253">
        <f t="shared" si="60"/>
        <v>0</v>
      </c>
      <c r="W77" s="394">
        <f t="shared" si="61"/>
        <v>0</v>
      </c>
      <c r="X77" s="380">
        <f>IF(K77="PORCENTAJE",(L77+O77+R77+U77),(L77))</f>
        <v>0</v>
      </c>
      <c r="Y77" s="253">
        <f t="shared" si="44"/>
        <v>0</v>
      </c>
      <c r="Z77" s="394">
        <f t="shared" si="45"/>
        <v>0</v>
      </c>
      <c r="AA77" s="395">
        <f t="shared" si="46"/>
        <v>0</v>
      </c>
      <c r="AB77" s="319" t="s">
        <v>528</v>
      </c>
      <c r="AC77" s="252" t="s">
        <v>356</v>
      </c>
      <c r="AD77" s="252" t="s">
        <v>529</v>
      </c>
      <c r="AE77" s="319" t="s">
        <v>43</v>
      </c>
      <c r="AF77" s="397" t="s">
        <v>419</v>
      </c>
      <c r="AG77" s="358"/>
      <c r="AH77" s="268"/>
      <c r="AI77" s="269"/>
      <c r="AJ77" s="270"/>
      <c r="AK77" s="271"/>
      <c r="AL77" s="272"/>
      <c r="AM77" s="270"/>
      <c r="AN77" s="271"/>
      <c r="AO77" s="273"/>
      <c r="AP77" s="270"/>
      <c r="AQ77" s="271"/>
      <c r="AR77" s="273"/>
    </row>
    <row r="78" spans="2:44" s="237" customFormat="1" ht="52.5" thickBot="1" x14ac:dyDescent="0.3">
      <c r="B78" s="1446"/>
      <c r="C78" s="1447"/>
      <c r="D78" s="1447"/>
      <c r="E78" s="1449"/>
      <c r="F78" s="252" t="s">
        <v>640</v>
      </c>
      <c r="G78" s="253" t="s">
        <v>531</v>
      </c>
      <c r="H78" s="253">
        <v>2</v>
      </c>
      <c r="I78" s="318">
        <v>0.2</v>
      </c>
      <c r="J78" s="318" t="s">
        <v>42</v>
      </c>
      <c r="K78" s="318" t="s">
        <v>40</v>
      </c>
      <c r="L78" s="253">
        <v>1</v>
      </c>
      <c r="M78" s="253">
        <f t="shared" si="55"/>
        <v>0</v>
      </c>
      <c r="N78" s="394">
        <f t="shared" si="56"/>
        <v>0</v>
      </c>
      <c r="O78" s="252">
        <v>1</v>
      </c>
      <c r="P78" s="253">
        <f t="shared" si="49"/>
        <v>0</v>
      </c>
      <c r="Q78" s="394">
        <f t="shared" si="57"/>
        <v>0</v>
      </c>
      <c r="R78" s="252">
        <v>1</v>
      </c>
      <c r="S78" s="253">
        <f t="shared" si="58"/>
        <v>0</v>
      </c>
      <c r="T78" s="394">
        <f t="shared" si="59"/>
        <v>0</v>
      </c>
      <c r="U78" s="252">
        <v>1</v>
      </c>
      <c r="V78" s="253">
        <f t="shared" si="60"/>
        <v>0</v>
      </c>
      <c r="W78" s="394">
        <f t="shared" si="61"/>
        <v>0</v>
      </c>
      <c r="X78" s="378">
        <f t="shared" si="62"/>
        <v>4</v>
      </c>
      <c r="Y78" s="253">
        <f t="shared" si="44"/>
        <v>0</v>
      </c>
      <c r="Z78" s="394">
        <f t="shared" si="45"/>
        <v>0</v>
      </c>
      <c r="AA78" s="395">
        <f t="shared" si="46"/>
        <v>0</v>
      </c>
      <c r="AB78" s="319" t="s">
        <v>530</v>
      </c>
      <c r="AC78" s="252" t="s">
        <v>352</v>
      </c>
      <c r="AD78" s="252" t="s">
        <v>353</v>
      </c>
      <c r="AE78" s="319" t="s">
        <v>43</v>
      </c>
      <c r="AF78" s="397" t="s">
        <v>418</v>
      </c>
      <c r="AG78" s="358"/>
      <c r="AH78" s="268"/>
      <c r="AI78" s="269"/>
      <c r="AJ78" s="270"/>
      <c r="AK78" s="271"/>
      <c r="AL78" s="272"/>
      <c r="AM78" s="270"/>
      <c r="AN78" s="271"/>
      <c r="AO78" s="273"/>
      <c r="AP78" s="270"/>
      <c r="AQ78" s="271"/>
      <c r="AR78" s="273"/>
    </row>
    <row r="79" spans="2:44" s="237" customFormat="1" ht="109.5" customHeight="1" x14ac:dyDescent="0.25">
      <c r="B79" s="1446" t="s">
        <v>598</v>
      </c>
      <c r="C79" s="1447">
        <v>19</v>
      </c>
      <c r="D79" s="253" t="s">
        <v>251</v>
      </c>
      <c r="E79" s="318">
        <v>1</v>
      </c>
      <c r="F79" s="404" t="s">
        <v>585</v>
      </c>
      <c r="G79" s="253" t="s">
        <v>270</v>
      </c>
      <c r="H79" s="377">
        <v>1339</v>
      </c>
      <c r="I79" s="318">
        <v>1</v>
      </c>
      <c r="J79" s="318" t="s">
        <v>39</v>
      </c>
      <c r="K79" s="318" t="s">
        <v>106</v>
      </c>
      <c r="L79" s="380">
        <v>1</v>
      </c>
      <c r="M79" s="253">
        <f>IF(J79="Cantidad",#REF!,IF(ISERROR(#REF!/AG79),0,#REF!/AG79))</f>
        <v>0</v>
      </c>
      <c r="N79" s="394">
        <f>IF(ISERROR(M79/L79),0,(M79/L79))</f>
        <v>0</v>
      </c>
      <c r="O79" s="380">
        <v>1</v>
      </c>
      <c r="P79" s="253">
        <f>IF(M79="Cantidad",AI79,IF(ISERROR(AI79/AJ79),0,AI79/AJ79))</f>
        <v>0</v>
      </c>
      <c r="Q79" s="394">
        <f>IF(ISERROR(P79/O79),0,(P79/O79))</f>
        <v>0</v>
      </c>
      <c r="R79" s="380">
        <v>1</v>
      </c>
      <c r="S79" s="253">
        <f>IF(J79="Cantidad",AL79,IF(ISERROR(AL79/AM79),0,AL79/AM79))</f>
        <v>0</v>
      </c>
      <c r="T79" s="394">
        <f>IF(ISERROR(S79/R79),0,(S79/R79))</f>
        <v>0</v>
      </c>
      <c r="U79" s="380">
        <v>1</v>
      </c>
      <c r="V79" s="253">
        <f>IF(J79="Cantidad",AO79,IF(ISERROR(AO79/AP79),0,AO79/AP79))</f>
        <v>0</v>
      </c>
      <c r="W79" s="394">
        <f>IF(ISERROR(V79/U79),0,(V79/U79))</f>
        <v>0</v>
      </c>
      <c r="X79" s="380">
        <f>IF(K79="SUMA",(L79+O79+R79+U79),(L79))</f>
        <v>1</v>
      </c>
      <c r="Y79" s="253">
        <f>IF(ISERROR(AVERAGE(M79,P79,S79,V79)),0,IF(K79="Suma",(M79+P79+S79+V79),AVERAGE(M79,P79,S79,V79)))</f>
        <v>0</v>
      </c>
      <c r="Z79" s="394">
        <f>IF(ISERROR(Y79/X79),0,(Y79/X79))</f>
        <v>0</v>
      </c>
      <c r="AA79" s="395">
        <f>+Z79*I79</f>
        <v>0</v>
      </c>
      <c r="AB79" s="319" t="s">
        <v>534</v>
      </c>
      <c r="AC79" s="252" t="s">
        <v>535</v>
      </c>
      <c r="AD79" s="252" t="s">
        <v>536</v>
      </c>
      <c r="AE79" s="319" t="s">
        <v>43</v>
      </c>
      <c r="AF79" s="397" t="s">
        <v>357</v>
      </c>
      <c r="AG79" s="391"/>
      <c r="AH79" s="401"/>
      <c r="AI79" s="230"/>
      <c r="AJ79" s="402"/>
      <c r="AK79" s="403"/>
      <c r="AL79" s="384"/>
      <c r="AM79" s="402"/>
      <c r="AN79" s="403"/>
      <c r="AP79" s="402"/>
      <c r="AQ79" s="403"/>
    </row>
    <row r="80" spans="2:44" s="237" customFormat="1" ht="197.25" customHeight="1" x14ac:dyDescent="0.25">
      <c r="B80" s="1446"/>
      <c r="C80" s="1447"/>
      <c r="D80" s="253" t="s">
        <v>251</v>
      </c>
      <c r="E80" s="318">
        <v>1</v>
      </c>
      <c r="F80" s="404" t="s">
        <v>586</v>
      </c>
      <c r="G80" s="253" t="s">
        <v>604</v>
      </c>
      <c r="H80" s="377"/>
      <c r="I80" s="318"/>
      <c r="J80" s="318"/>
      <c r="K80" s="318"/>
      <c r="L80" s="380"/>
      <c r="M80" s="253"/>
      <c r="N80" s="394"/>
      <c r="O80" s="380"/>
      <c r="P80" s="253"/>
      <c r="Q80" s="394"/>
      <c r="R80" s="380"/>
      <c r="S80" s="253"/>
      <c r="T80" s="394"/>
      <c r="U80" s="380"/>
      <c r="V80" s="253"/>
      <c r="W80" s="394"/>
      <c r="X80" s="380"/>
      <c r="Y80" s="253"/>
      <c r="Z80" s="394"/>
      <c r="AA80" s="395"/>
      <c r="AB80" s="319"/>
      <c r="AC80" s="252"/>
      <c r="AD80" s="252"/>
      <c r="AE80" s="319"/>
      <c r="AF80" s="397"/>
      <c r="AG80" s="343"/>
      <c r="AH80" s="247"/>
      <c r="AI80" s="248"/>
      <c r="AJ80" s="249"/>
      <c r="AK80" s="250"/>
      <c r="AL80" s="248"/>
      <c r="AM80" s="249"/>
      <c r="AN80" s="251"/>
      <c r="AO80" s="248"/>
      <c r="AP80" s="249"/>
      <c r="AQ80" s="251"/>
    </row>
    <row r="81" spans="2:44" s="237" customFormat="1" ht="103.5" x14ac:dyDescent="0.25">
      <c r="B81" s="1446" t="s">
        <v>596</v>
      </c>
      <c r="C81" s="1447">
        <v>20</v>
      </c>
      <c r="D81" s="1448" t="s">
        <v>258</v>
      </c>
      <c r="E81" s="1449">
        <v>1</v>
      </c>
      <c r="F81" s="404" t="s">
        <v>587</v>
      </c>
      <c r="G81" s="253" t="s">
        <v>591</v>
      </c>
      <c r="H81" s="253">
        <v>5</v>
      </c>
      <c r="I81" s="318">
        <v>0.35</v>
      </c>
      <c r="J81" s="318" t="s">
        <v>39</v>
      </c>
      <c r="K81" s="318" t="s">
        <v>40</v>
      </c>
      <c r="L81" s="318"/>
      <c r="M81" s="253">
        <f>IF(J81="Cantidad",AG81,IF(ISERROR(AG81/AH81),0,AG81/AH81))</f>
        <v>0</v>
      </c>
      <c r="N81" s="394">
        <f>IF(ISERROR(M81/L81),0,(M81/L81))</f>
        <v>0</v>
      </c>
      <c r="O81" s="318"/>
      <c r="P81" s="253">
        <f>IF(M81="Cantidad",AJ81,IF(ISERROR(AJ81/AK81),0,AJ81/AK81))</f>
        <v>0</v>
      </c>
      <c r="Q81" s="394">
        <f>IF(ISERROR(P81/O81),0,(P81/O81))</f>
        <v>0</v>
      </c>
      <c r="R81" s="318"/>
      <c r="S81" s="253">
        <f>IF(J81="Cantidad",AM81,IF(ISERROR(AM81/AN81),0,AM81/AN81))</f>
        <v>0</v>
      </c>
      <c r="T81" s="394">
        <f>IF(ISERROR(S81/R81),0,(S81/R81))</f>
        <v>0</v>
      </c>
      <c r="U81" s="318"/>
      <c r="V81" s="253">
        <f>IF(J81="Cantidad",AP81,IF(ISERROR(AP81/AQ81),0,AP81/AQ81))</f>
        <v>0</v>
      </c>
      <c r="W81" s="394">
        <f>IF(ISERROR(V81/U81),0,(V81/U81))</f>
        <v>0</v>
      </c>
      <c r="X81" s="378">
        <f>IF(K81="SUMA",(L81+O81+R81+U81),(L81))</f>
        <v>0</v>
      </c>
      <c r="Y81" s="253">
        <f>IF(ISERROR(AVERAGE(M81,P81,S81,V81)),0,IF(K81="Suma",(M81+P81+S81+V81),AVERAGE(M81,P81,S81,V81)))</f>
        <v>0</v>
      </c>
      <c r="Z81" s="394">
        <f>IF(ISERROR(Y81/X81),0,(Y81/X81))</f>
        <v>0</v>
      </c>
      <c r="AA81" s="395">
        <f>+Z81*I81</f>
        <v>0</v>
      </c>
      <c r="AB81" s="319" t="s">
        <v>592</v>
      </c>
      <c r="AC81" s="252" t="s">
        <v>537</v>
      </c>
      <c r="AD81" s="252" t="s">
        <v>538</v>
      </c>
      <c r="AE81" s="319" t="s">
        <v>43</v>
      </c>
      <c r="AF81" s="397" t="s">
        <v>358</v>
      </c>
      <c r="AG81" s="343"/>
      <c r="AH81" s="246"/>
      <c r="AI81" s="247"/>
      <c r="AJ81" s="248"/>
      <c r="AK81" s="249"/>
      <c r="AL81" s="250"/>
      <c r="AM81" s="248"/>
      <c r="AN81" s="249"/>
      <c r="AO81" s="251"/>
      <c r="AP81" s="248"/>
      <c r="AQ81" s="249"/>
      <c r="AR81" s="251"/>
    </row>
    <row r="82" spans="2:44" s="237" customFormat="1" ht="69" x14ac:dyDescent="0.25">
      <c r="B82" s="1446"/>
      <c r="C82" s="1447"/>
      <c r="D82" s="1448"/>
      <c r="E82" s="1449"/>
      <c r="F82" s="404" t="s">
        <v>588</v>
      </c>
      <c r="G82" s="253" t="s">
        <v>256</v>
      </c>
      <c r="H82" s="253">
        <v>3</v>
      </c>
      <c r="I82" s="318">
        <v>0.35</v>
      </c>
      <c r="J82" s="318" t="s">
        <v>42</v>
      </c>
      <c r="K82" s="318" t="s">
        <v>40</v>
      </c>
      <c r="L82" s="318"/>
      <c r="M82" s="253">
        <f>IF(J82="Cantidad",AG82,IF(ISERROR(AG82/AH82),0,AG82/AH82))</f>
        <v>0</v>
      </c>
      <c r="N82" s="394">
        <f>IF(ISERROR(M82/L82),0,(M82/L82))</f>
        <v>0</v>
      </c>
      <c r="O82" s="318"/>
      <c r="P82" s="253">
        <f>IF(M82="Cantidad",AJ82,IF(ISERROR(AJ82/AK82),0,AJ82/AK82))</f>
        <v>0</v>
      </c>
      <c r="Q82" s="394">
        <f>IF(ISERROR(P82/O82),0,(P82/O82))</f>
        <v>0</v>
      </c>
      <c r="R82" s="318"/>
      <c r="S82" s="253">
        <f>IF(J82="Cantidad",AM82,IF(ISERROR(AM82/AN82),0,AM82/AN82))</f>
        <v>0</v>
      </c>
      <c r="T82" s="394">
        <f>IF(ISERROR(S82/R82),0,(S82/R82))</f>
        <v>0</v>
      </c>
      <c r="U82" s="318"/>
      <c r="V82" s="253">
        <f>IF(J82="Cantidad",AP82,IF(ISERROR(AP82/AQ82),0,AP82/AQ82))</f>
        <v>0</v>
      </c>
      <c r="W82" s="394">
        <f>IF(ISERROR(V82/U82),0,(V82/U82))</f>
        <v>0</v>
      </c>
      <c r="X82" s="380">
        <f>IF(K82="SUMA",(L82+O82+R82+U82),(L82))</f>
        <v>0</v>
      </c>
      <c r="Y82" s="253">
        <f>IF(ISERROR(AVERAGE(M82,P82,S82,V82)),0,IF(K82="Suma",(M82+P82+S82+V82),AVERAGE(M82,P82,S82,V82)))</f>
        <v>0</v>
      </c>
      <c r="Z82" s="394">
        <f>IF(ISERROR(Y82/X82),0,(Y82/X82))</f>
        <v>0</v>
      </c>
      <c r="AA82" s="395">
        <f>+Z82*I82</f>
        <v>0</v>
      </c>
      <c r="AB82" s="319" t="s">
        <v>539</v>
      </c>
      <c r="AC82" s="252" t="s">
        <v>540</v>
      </c>
      <c r="AD82" s="252" t="s">
        <v>359</v>
      </c>
      <c r="AE82" s="319" t="s">
        <v>43</v>
      </c>
      <c r="AF82" s="397" t="s">
        <v>360</v>
      </c>
      <c r="AG82" s="373"/>
      <c r="AH82" s="258"/>
      <c r="AI82" s="259"/>
      <c r="AJ82" s="260"/>
      <c r="AK82" s="261"/>
      <c r="AL82" s="262"/>
      <c r="AM82" s="260"/>
      <c r="AN82" s="261"/>
      <c r="AO82" s="263"/>
      <c r="AP82" s="260"/>
      <c r="AQ82" s="261"/>
      <c r="AR82" s="263"/>
    </row>
    <row r="83" spans="2:44" s="237" customFormat="1" ht="103.5" x14ac:dyDescent="0.25">
      <c r="B83" s="1446"/>
      <c r="C83" s="1447"/>
      <c r="D83" s="1448"/>
      <c r="E83" s="1449"/>
      <c r="F83" s="404" t="s">
        <v>589</v>
      </c>
      <c r="G83" s="253" t="s">
        <v>257</v>
      </c>
      <c r="H83" s="253">
        <v>2</v>
      </c>
      <c r="I83" s="318">
        <v>0.3</v>
      </c>
      <c r="J83" s="318" t="s">
        <v>42</v>
      </c>
      <c r="K83" s="318" t="s">
        <v>40</v>
      </c>
      <c r="L83" s="318"/>
      <c r="M83" s="253">
        <f>IF(J83="Cantidad",AG83,IF(ISERROR(AG83/AH83),0,AG83/AH83))</f>
        <v>0</v>
      </c>
      <c r="N83" s="394">
        <f>IF(ISERROR(M83/L83),0,(M83/L83))</f>
        <v>0</v>
      </c>
      <c r="O83" s="318"/>
      <c r="P83" s="253">
        <f t="shared" ref="P83" si="63">IF(M83="Cantidad",AJ83,IF(ISERROR(AJ83/AK83),0,AJ83/AK83))</f>
        <v>0</v>
      </c>
      <c r="Q83" s="394">
        <f>IF(ISERROR(P83/O83),0,(P83/O83))</f>
        <v>0</v>
      </c>
      <c r="R83" s="318"/>
      <c r="S83" s="253">
        <f>IF(J83="Cantidad",AM83,IF(ISERROR(AM83/AN83),0,AM83/AN83))</f>
        <v>0</v>
      </c>
      <c r="T83" s="394">
        <f>IF(ISERROR(S83/R83),0,(S83/R83))</f>
        <v>0</v>
      </c>
      <c r="U83" s="318"/>
      <c r="V83" s="253">
        <f>IF(J83="Cantidad",AP83,IF(ISERROR(AP83/AQ83),0,AP83/AQ83))</f>
        <v>0</v>
      </c>
      <c r="W83" s="394">
        <f>IF(ISERROR(V83/U83),0,(V83/U83))</f>
        <v>0</v>
      </c>
      <c r="X83" s="378">
        <f>IF(K83="SUMA",(L83+O83+R83+U83),(L83))</f>
        <v>0</v>
      </c>
      <c r="Y83" s="253">
        <f>IF(ISERROR(AVERAGE(M83,P83,S83,V83)),0,IF(K83="Suma",(M83+P83+S83+V83),AVERAGE(M83,P83,S83,V83)))</f>
        <v>0</v>
      </c>
      <c r="Z83" s="394">
        <f>IF(ISERROR(Y83/X83),0,(Y83/X83))</f>
        <v>0</v>
      </c>
      <c r="AA83" s="395">
        <f>+Z83*I83</f>
        <v>0</v>
      </c>
      <c r="AB83" s="319" t="s">
        <v>541</v>
      </c>
      <c r="AC83" s="319" t="s">
        <v>542</v>
      </c>
      <c r="AD83" s="319" t="s">
        <v>543</v>
      </c>
      <c r="AE83" s="319" t="s">
        <v>43</v>
      </c>
      <c r="AF83" s="397" t="s">
        <v>361</v>
      </c>
      <c r="AG83" s="373"/>
      <c r="AH83" s="258"/>
      <c r="AI83" s="259"/>
      <c r="AJ83" s="260"/>
      <c r="AK83" s="261"/>
      <c r="AL83" s="262"/>
      <c r="AM83" s="260"/>
      <c r="AN83" s="261"/>
      <c r="AO83" s="263"/>
      <c r="AP83" s="260"/>
      <c r="AQ83" s="261"/>
      <c r="AR83" s="263"/>
    </row>
    <row r="84" spans="2:44" s="237" customFormat="1" ht="103.5" x14ac:dyDescent="0.25">
      <c r="B84" s="1446"/>
      <c r="C84" s="1447"/>
      <c r="D84" s="1448"/>
      <c r="E84" s="1449"/>
      <c r="F84" s="404" t="s">
        <v>589</v>
      </c>
      <c r="G84" s="253" t="s">
        <v>257</v>
      </c>
      <c r="H84" s="253"/>
      <c r="I84" s="318"/>
      <c r="J84" s="318"/>
      <c r="K84" s="318"/>
      <c r="L84" s="318"/>
      <c r="M84" s="253"/>
      <c r="N84" s="394"/>
      <c r="O84" s="318"/>
      <c r="P84" s="253"/>
      <c r="Q84" s="394"/>
      <c r="R84" s="318"/>
      <c r="S84" s="253"/>
      <c r="T84" s="394"/>
      <c r="U84" s="318"/>
      <c r="V84" s="253"/>
      <c r="W84" s="394"/>
      <c r="X84" s="378"/>
      <c r="Y84" s="253"/>
      <c r="Z84" s="394"/>
      <c r="AA84" s="395"/>
      <c r="AB84" s="319"/>
      <c r="AC84" s="319"/>
      <c r="AD84" s="319"/>
      <c r="AE84" s="319"/>
      <c r="AF84" s="397"/>
      <c r="AG84" s="373"/>
      <c r="AH84" s="258"/>
      <c r="AI84" s="259"/>
      <c r="AJ84" s="260"/>
      <c r="AK84" s="261"/>
      <c r="AL84" s="264"/>
      <c r="AM84" s="260"/>
      <c r="AN84" s="261"/>
      <c r="AO84" s="263"/>
      <c r="AP84" s="260"/>
      <c r="AQ84" s="261"/>
      <c r="AR84" s="263"/>
    </row>
    <row r="85" spans="2:44" s="237" customFormat="1" ht="87" thickBot="1" x14ac:dyDescent="0.3">
      <c r="B85" s="1450" t="s">
        <v>598</v>
      </c>
      <c r="C85" s="1447">
        <v>21</v>
      </c>
      <c r="D85" s="1447" t="s">
        <v>267</v>
      </c>
      <c r="E85" s="1449">
        <v>1</v>
      </c>
      <c r="F85" s="378" t="s">
        <v>641</v>
      </c>
      <c r="G85" s="253" t="s">
        <v>262</v>
      </c>
      <c r="H85" s="253">
        <v>3472</v>
      </c>
      <c r="I85" s="318">
        <v>0.15</v>
      </c>
      <c r="J85" s="318" t="s">
        <v>39</v>
      </c>
      <c r="K85" s="318" t="s">
        <v>106</v>
      </c>
      <c r="L85" s="253"/>
      <c r="M85" s="253">
        <f t="shared" ref="M85:M91" si="64">IF(J85="Cantidad",AG85,IF(ISERROR(AG85/AH85),0,AG85/AH85))</f>
        <v>0</v>
      </c>
      <c r="N85" s="394">
        <f t="shared" ref="N85:N91" si="65">IF(ISERROR(M85/L85),0,(M85/L85))</f>
        <v>0</v>
      </c>
      <c r="O85" s="252"/>
      <c r="P85" s="253">
        <f t="shared" ref="P85:P91" si="66">IF(M85="Cantidad",AJ85,IF(ISERROR(AJ85/AK85),0,AJ85/AK85))</f>
        <v>0</v>
      </c>
      <c r="Q85" s="394">
        <f t="shared" ref="Q85:Q91" si="67">IF(ISERROR(P85/O85),0,(P85/O85))</f>
        <v>0</v>
      </c>
      <c r="R85" s="252"/>
      <c r="S85" s="253">
        <f t="shared" ref="S85:S91" si="68">IF(J85="Cantidad",AM85,IF(ISERROR(AM85/AN85),0,AM85/AN85))</f>
        <v>0</v>
      </c>
      <c r="T85" s="394">
        <f t="shared" ref="T85:T91" si="69">IF(ISERROR(S85/R85),0,(S85/R85))</f>
        <v>0</v>
      </c>
      <c r="U85" s="252"/>
      <c r="V85" s="253">
        <f t="shared" ref="V85:V91" si="70">IF(J85="Cantidad",AP85,IF(ISERROR(AP85/AQ85),0,AP85/AQ85))</f>
        <v>0</v>
      </c>
      <c r="W85" s="394">
        <f t="shared" ref="W85:W91" si="71">IF(ISERROR(V85/U85),0,(V85/U85))</f>
        <v>0</v>
      </c>
      <c r="X85" s="378">
        <f t="shared" ref="X85:X91" si="72">IF(K85="SUMA",(L85+O85+R85+U85),(L85))</f>
        <v>0</v>
      </c>
      <c r="Y85" s="253">
        <f t="shared" ref="Y85:Y91" si="73">IF(ISERROR(AVERAGE(M85,P85,S85,V85)),0,IF(K85="Suma",(M85+P85+S85+V85),AVERAGE(M85,P85,S85,V85)))</f>
        <v>0</v>
      </c>
      <c r="Z85" s="394">
        <f t="shared" ref="Z85:Z91" si="74">IF(ISERROR(Y85/X85),0,(Y85/X85))</f>
        <v>0</v>
      </c>
      <c r="AA85" s="395">
        <f t="shared" ref="AA85:AA91" si="75">+Z85*I85</f>
        <v>0</v>
      </c>
      <c r="AB85" s="319" t="s">
        <v>544</v>
      </c>
      <c r="AC85" s="252" t="s">
        <v>379</v>
      </c>
      <c r="AD85" s="252" t="s">
        <v>380</v>
      </c>
      <c r="AE85" s="319" t="s">
        <v>43</v>
      </c>
      <c r="AF85" s="397" t="s">
        <v>357</v>
      </c>
      <c r="AG85" s="358"/>
      <c r="AH85" s="268"/>
      <c r="AI85" s="269"/>
      <c r="AJ85" s="270"/>
      <c r="AK85" s="271"/>
      <c r="AL85" s="272"/>
      <c r="AM85" s="270"/>
      <c r="AN85" s="271"/>
      <c r="AO85" s="273"/>
      <c r="AP85" s="270"/>
      <c r="AQ85" s="271"/>
      <c r="AR85" s="273"/>
    </row>
    <row r="86" spans="2:44" s="237" customFormat="1" ht="52.5" thickBot="1" x14ac:dyDescent="0.3">
      <c r="B86" s="1450"/>
      <c r="C86" s="1447"/>
      <c r="D86" s="1447"/>
      <c r="E86" s="1449"/>
      <c r="F86" s="378" t="s">
        <v>642</v>
      </c>
      <c r="G86" s="253" t="s">
        <v>263</v>
      </c>
      <c r="H86" s="377">
        <v>95</v>
      </c>
      <c r="I86" s="318">
        <v>0.15</v>
      </c>
      <c r="J86" s="318" t="s">
        <v>39</v>
      </c>
      <c r="K86" s="318" t="s">
        <v>106</v>
      </c>
      <c r="L86" s="253"/>
      <c r="M86" s="253">
        <f t="shared" si="64"/>
        <v>0</v>
      </c>
      <c r="N86" s="394">
        <f t="shared" si="65"/>
        <v>0</v>
      </c>
      <c r="O86" s="252"/>
      <c r="P86" s="253">
        <f t="shared" si="66"/>
        <v>0</v>
      </c>
      <c r="Q86" s="394">
        <f t="shared" si="67"/>
        <v>0</v>
      </c>
      <c r="R86" s="252"/>
      <c r="S86" s="253">
        <f t="shared" si="68"/>
        <v>0</v>
      </c>
      <c r="T86" s="394">
        <f t="shared" si="69"/>
        <v>0</v>
      </c>
      <c r="U86" s="252"/>
      <c r="V86" s="253">
        <f t="shared" si="70"/>
        <v>0</v>
      </c>
      <c r="W86" s="394">
        <f t="shared" si="71"/>
        <v>0</v>
      </c>
      <c r="X86" s="378">
        <f t="shared" si="72"/>
        <v>0</v>
      </c>
      <c r="Y86" s="253">
        <f t="shared" si="73"/>
        <v>0</v>
      </c>
      <c r="Z86" s="394">
        <f t="shared" si="74"/>
        <v>0</v>
      </c>
      <c r="AA86" s="395">
        <f t="shared" si="75"/>
        <v>0</v>
      </c>
      <c r="AB86" s="319" t="s">
        <v>545</v>
      </c>
      <c r="AC86" s="252" t="s">
        <v>420</v>
      </c>
      <c r="AD86" s="252" t="s">
        <v>381</v>
      </c>
      <c r="AE86" s="319" t="s">
        <v>43</v>
      </c>
      <c r="AF86" s="397" t="s">
        <v>424</v>
      </c>
      <c r="AG86" s="358"/>
      <c r="AH86" s="268"/>
      <c r="AI86" s="269"/>
      <c r="AJ86" s="270"/>
      <c r="AK86" s="271"/>
      <c r="AL86" s="272"/>
      <c r="AM86" s="270"/>
      <c r="AN86" s="271"/>
      <c r="AO86" s="273"/>
      <c r="AP86" s="270"/>
      <c r="AQ86" s="271"/>
      <c r="AR86" s="273"/>
    </row>
    <row r="87" spans="2:44" s="237" customFormat="1" ht="35.25" thickBot="1" x14ac:dyDescent="0.3">
      <c r="B87" s="1450"/>
      <c r="C87" s="1447"/>
      <c r="D87" s="1447"/>
      <c r="E87" s="1449"/>
      <c r="F87" s="378" t="s">
        <v>643</v>
      </c>
      <c r="G87" s="253" t="s">
        <v>264</v>
      </c>
      <c r="H87" s="377">
        <v>69</v>
      </c>
      <c r="I87" s="318">
        <v>0.15</v>
      </c>
      <c r="J87" s="318" t="s">
        <v>39</v>
      </c>
      <c r="K87" s="318" t="s">
        <v>106</v>
      </c>
      <c r="L87" s="253"/>
      <c r="M87" s="253">
        <f t="shared" si="64"/>
        <v>0</v>
      </c>
      <c r="N87" s="394">
        <f t="shared" si="65"/>
        <v>0</v>
      </c>
      <c r="O87" s="252"/>
      <c r="P87" s="253">
        <f t="shared" si="66"/>
        <v>0</v>
      </c>
      <c r="Q87" s="394">
        <f t="shared" si="67"/>
        <v>0</v>
      </c>
      <c r="R87" s="252"/>
      <c r="S87" s="253">
        <f t="shared" si="68"/>
        <v>0</v>
      </c>
      <c r="T87" s="394">
        <f t="shared" si="69"/>
        <v>0</v>
      </c>
      <c r="U87" s="252"/>
      <c r="V87" s="253">
        <f t="shared" si="70"/>
        <v>0</v>
      </c>
      <c r="W87" s="394">
        <f t="shared" si="71"/>
        <v>0</v>
      </c>
      <c r="X87" s="378">
        <f t="shared" si="72"/>
        <v>0</v>
      </c>
      <c r="Y87" s="253">
        <f t="shared" si="73"/>
        <v>0</v>
      </c>
      <c r="Z87" s="394">
        <f t="shared" si="74"/>
        <v>0</v>
      </c>
      <c r="AA87" s="395">
        <f t="shared" si="75"/>
        <v>0</v>
      </c>
      <c r="AB87" s="319" t="s">
        <v>546</v>
      </c>
      <c r="AC87" s="252" t="s">
        <v>382</v>
      </c>
      <c r="AD87" s="252" t="s">
        <v>383</v>
      </c>
      <c r="AE87" s="319" t="s">
        <v>43</v>
      </c>
      <c r="AF87" s="397" t="s">
        <v>424</v>
      </c>
      <c r="AG87" s="358"/>
      <c r="AH87" s="268"/>
      <c r="AI87" s="269"/>
      <c r="AJ87" s="270"/>
      <c r="AK87" s="271"/>
      <c r="AL87" s="272"/>
      <c r="AM87" s="270"/>
      <c r="AN87" s="271"/>
      <c r="AO87" s="273"/>
      <c r="AP87" s="270"/>
      <c r="AQ87" s="271"/>
      <c r="AR87" s="273"/>
    </row>
    <row r="88" spans="2:44" s="237" customFormat="1" ht="87" thickBot="1" x14ac:dyDescent="0.3">
      <c r="B88" s="1450"/>
      <c r="C88" s="1447"/>
      <c r="D88" s="1447"/>
      <c r="E88" s="1449"/>
      <c r="F88" s="378" t="s">
        <v>644</v>
      </c>
      <c r="G88" s="253" t="s">
        <v>301</v>
      </c>
      <c r="H88" s="377">
        <v>7849</v>
      </c>
      <c r="I88" s="318">
        <v>0.15</v>
      </c>
      <c r="J88" s="318" t="s">
        <v>39</v>
      </c>
      <c r="K88" s="318" t="s">
        <v>106</v>
      </c>
      <c r="L88" s="253"/>
      <c r="M88" s="253">
        <f t="shared" si="64"/>
        <v>0</v>
      </c>
      <c r="N88" s="394">
        <f t="shared" si="65"/>
        <v>0</v>
      </c>
      <c r="O88" s="252"/>
      <c r="P88" s="253">
        <f t="shared" si="66"/>
        <v>0</v>
      </c>
      <c r="Q88" s="394">
        <f t="shared" si="67"/>
        <v>0</v>
      </c>
      <c r="R88" s="252"/>
      <c r="S88" s="253">
        <f t="shared" si="68"/>
        <v>0</v>
      </c>
      <c r="T88" s="394">
        <f t="shared" si="69"/>
        <v>0</v>
      </c>
      <c r="U88" s="252"/>
      <c r="V88" s="253">
        <f t="shared" si="70"/>
        <v>0</v>
      </c>
      <c r="W88" s="394">
        <f t="shared" si="71"/>
        <v>0</v>
      </c>
      <c r="X88" s="378">
        <f t="shared" si="72"/>
        <v>0</v>
      </c>
      <c r="Y88" s="253">
        <f t="shared" si="73"/>
        <v>0</v>
      </c>
      <c r="Z88" s="394">
        <f t="shared" si="74"/>
        <v>0</v>
      </c>
      <c r="AA88" s="395">
        <f t="shared" si="75"/>
        <v>0</v>
      </c>
      <c r="AB88" s="319" t="s">
        <v>547</v>
      </c>
      <c r="AC88" s="252" t="s">
        <v>384</v>
      </c>
      <c r="AD88" s="252" t="s">
        <v>385</v>
      </c>
      <c r="AE88" s="319" t="s">
        <v>43</v>
      </c>
      <c r="AF88" s="397" t="s">
        <v>425</v>
      </c>
      <c r="AG88" s="358"/>
      <c r="AH88" s="268"/>
      <c r="AI88" s="269"/>
      <c r="AJ88" s="270"/>
      <c r="AK88" s="271"/>
      <c r="AL88" s="272"/>
      <c r="AM88" s="270"/>
      <c r="AN88" s="271"/>
      <c r="AO88" s="273"/>
      <c r="AP88" s="270"/>
      <c r="AQ88" s="271"/>
      <c r="AR88" s="273"/>
    </row>
    <row r="89" spans="2:44" s="237" customFormat="1" ht="69.75" thickBot="1" x14ac:dyDescent="0.3">
      <c r="B89" s="1450"/>
      <c r="C89" s="1447"/>
      <c r="D89" s="1447"/>
      <c r="E89" s="1449"/>
      <c r="F89" s="378" t="s">
        <v>645</v>
      </c>
      <c r="G89" s="253" t="s">
        <v>265</v>
      </c>
      <c r="H89" s="377">
        <v>61</v>
      </c>
      <c r="I89" s="318">
        <v>0.15</v>
      </c>
      <c r="J89" s="318" t="s">
        <v>39</v>
      </c>
      <c r="K89" s="318" t="s">
        <v>106</v>
      </c>
      <c r="L89" s="253"/>
      <c r="M89" s="253">
        <f t="shared" si="64"/>
        <v>0</v>
      </c>
      <c r="N89" s="394">
        <f t="shared" si="65"/>
        <v>0</v>
      </c>
      <c r="O89" s="252"/>
      <c r="P89" s="253">
        <f t="shared" si="66"/>
        <v>0</v>
      </c>
      <c r="Q89" s="394">
        <f t="shared" si="67"/>
        <v>0</v>
      </c>
      <c r="R89" s="252"/>
      <c r="S89" s="253">
        <f t="shared" si="68"/>
        <v>0</v>
      </c>
      <c r="T89" s="394">
        <f t="shared" si="69"/>
        <v>0</v>
      </c>
      <c r="U89" s="252"/>
      <c r="V89" s="253">
        <f t="shared" si="70"/>
        <v>0</v>
      </c>
      <c r="W89" s="394">
        <f t="shared" si="71"/>
        <v>0</v>
      </c>
      <c r="X89" s="378">
        <f t="shared" si="72"/>
        <v>0</v>
      </c>
      <c r="Y89" s="253">
        <f t="shared" si="73"/>
        <v>0</v>
      </c>
      <c r="Z89" s="394">
        <f t="shared" si="74"/>
        <v>0</v>
      </c>
      <c r="AA89" s="395">
        <f t="shared" si="75"/>
        <v>0</v>
      </c>
      <c r="AB89" s="319" t="s">
        <v>548</v>
      </c>
      <c r="AC89" s="252" t="s">
        <v>386</v>
      </c>
      <c r="AD89" s="252" t="s">
        <v>387</v>
      </c>
      <c r="AE89" s="319" t="s">
        <v>43</v>
      </c>
      <c r="AF89" s="397" t="s">
        <v>357</v>
      </c>
      <c r="AG89" s="358"/>
      <c r="AH89" s="268"/>
      <c r="AI89" s="269"/>
      <c r="AJ89" s="270"/>
      <c r="AK89" s="271"/>
      <c r="AL89" s="272"/>
      <c r="AM89" s="270"/>
      <c r="AN89" s="271"/>
      <c r="AO89" s="273"/>
      <c r="AP89" s="270"/>
      <c r="AQ89" s="271"/>
      <c r="AR89" s="273"/>
    </row>
    <row r="90" spans="2:44" s="237" customFormat="1" ht="69.75" thickBot="1" x14ac:dyDescent="0.3">
      <c r="B90" s="1450"/>
      <c r="C90" s="1447"/>
      <c r="D90" s="1447"/>
      <c r="E90" s="1449"/>
      <c r="F90" s="378" t="s">
        <v>646</v>
      </c>
      <c r="G90" s="253" t="s">
        <v>269</v>
      </c>
      <c r="H90" s="377">
        <v>203</v>
      </c>
      <c r="I90" s="318">
        <v>0.15</v>
      </c>
      <c r="J90" s="318" t="s">
        <v>39</v>
      </c>
      <c r="K90" s="318" t="s">
        <v>106</v>
      </c>
      <c r="L90" s="253"/>
      <c r="M90" s="253">
        <f t="shared" si="64"/>
        <v>0</v>
      </c>
      <c r="N90" s="394">
        <f t="shared" si="65"/>
        <v>0</v>
      </c>
      <c r="O90" s="252"/>
      <c r="P90" s="253">
        <f t="shared" si="66"/>
        <v>0</v>
      </c>
      <c r="Q90" s="394">
        <f t="shared" si="67"/>
        <v>0</v>
      </c>
      <c r="R90" s="252"/>
      <c r="S90" s="253">
        <f t="shared" si="68"/>
        <v>0</v>
      </c>
      <c r="T90" s="394">
        <f t="shared" si="69"/>
        <v>0</v>
      </c>
      <c r="U90" s="252"/>
      <c r="V90" s="253">
        <f t="shared" si="70"/>
        <v>0</v>
      </c>
      <c r="W90" s="394">
        <f t="shared" si="71"/>
        <v>0</v>
      </c>
      <c r="X90" s="378">
        <f t="shared" si="72"/>
        <v>0</v>
      </c>
      <c r="Y90" s="253">
        <f t="shared" si="73"/>
        <v>0</v>
      </c>
      <c r="Z90" s="394">
        <f t="shared" si="74"/>
        <v>0</v>
      </c>
      <c r="AA90" s="395">
        <f t="shared" si="75"/>
        <v>0</v>
      </c>
      <c r="AB90" s="319" t="s">
        <v>549</v>
      </c>
      <c r="AC90" s="252" t="s">
        <v>550</v>
      </c>
      <c r="AD90" s="252" t="s">
        <v>551</v>
      </c>
      <c r="AE90" s="319" t="s">
        <v>43</v>
      </c>
      <c r="AF90" s="397" t="s">
        <v>357</v>
      </c>
      <c r="AG90" s="358"/>
      <c r="AH90" s="268"/>
      <c r="AI90" s="269"/>
      <c r="AJ90" s="270"/>
      <c r="AK90" s="271"/>
      <c r="AL90" s="272"/>
      <c r="AM90" s="270"/>
      <c r="AN90" s="271"/>
      <c r="AO90" s="273"/>
      <c r="AP90" s="270"/>
      <c r="AQ90" s="271"/>
      <c r="AR90" s="273"/>
    </row>
    <row r="91" spans="2:44" s="237" customFormat="1" ht="121.5" thickBot="1" x14ac:dyDescent="0.3">
      <c r="B91" s="1451"/>
      <c r="C91" s="1452"/>
      <c r="D91" s="1452"/>
      <c r="E91" s="1453"/>
      <c r="F91" s="379" t="s">
        <v>647</v>
      </c>
      <c r="G91" s="290" t="s">
        <v>266</v>
      </c>
      <c r="H91" s="290">
        <v>372</v>
      </c>
      <c r="I91" s="320">
        <v>0.1</v>
      </c>
      <c r="J91" s="320" t="s">
        <v>39</v>
      </c>
      <c r="K91" s="320" t="s">
        <v>106</v>
      </c>
      <c r="L91" s="243"/>
      <c r="M91" s="243">
        <f t="shared" si="64"/>
        <v>0</v>
      </c>
      <c r="N91" s="291">
        <f t="shared" si="65"/>
        <v>0</v>
      </c>
      <c r="O91" s="309"/>
      <c r="P91" s="243">
        <f t="shared" si="66"/>
        <v>0</v>
      </c>
      <c r="Q91" s="291">
        <f t="shared" si="67"/>
        <v>0</v>
      </c>
      <c r="R91" s="309"/>
      <c r="S91" s="243">
        <f t="shared" si="68"/>
        <v>0</v>
      </c>
      <c r="T91" s="291">
        <f t="shared" si="69"/>
        <v>0</v>
      </c>
      <c r="U91" s="309"/>
      <c r="V91" s="243">
        <f t="shared" si="70"/>
        <v>0</v>
      </c>
      <c r="W91" s="291">
        <f t="shared" si="71"/>
        <v>0</v>
      </c>
      <c r="X91" s="379">
        <f t="shared" si="72"/>
        <v>0</v>
      </c>
      <c r="Y91" s="243">
        <f t="shared" si="73"/>
        <v>0</v>
      </c>
      <c r="Z91" s="291">
        <f t="shared" si="74"/>
        <v>0</v>
      </c>
      <c r="AA91" s="292">
        <f t="shared" si="75"/>
        <v>0</v>
      </c>
      <c r="AB91" s="293" t="s">
        <v>552</v>
      </c>
      <c r="AC91" s="309" t="s">
        <v>553</v>
      </c>
      <c r="AD91" s="309" t="s">
        <v>554</v>
      </c>
      <c r="AE91" s="293" t="s">
        <v>43</v>
      </c>
      <c r="AF91" s="393" t="s">
        <v>426</v>
      </c>
      <c r="AG91" s="358"/>
      <c r="AH91" s="268"/>
      <c r="AI91" s="269"/>
      <c r="AJ91" s="270"/>
      <c r="AK91" s="271"/>
      <c r="AL91" s="272"/>
      <c r="AM91" s="270"/>
      <c r="AN91" s="271"/>
      <c r="AO91" s="273"/>
      <c r="AP91" s="270"/>
      <c r="AQ91" s="271"/>
      <c r="AR91" s="273"/>
    </row>
    <row r="92" spans="2:44" s="237" customFormat="1" x14ac:dyDescent="0.25">
      <c r="B92" s="230"/>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c r="AA92" s="230"/>
      <c r="AB92" s="230"/>
      <c r="AC92" s="230"/>
      <c r="AD92" s="230"/>
      <c r="AE92" s="230"/>
      <c r="AG92" s="230"/>
      <c r="AH92" s="230"/>
      <c r="AI92" s="230"/>
    </row>
    <row r="93" spans="2:44" s="237" customFormat="1" x14ac:dyDescent="0.25">
      <c r="B93" s="230"/>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c r="AA93" s="230"/>
      <c r="AB93" s="230"/>
      <c r="AC93" s="230"/>
      <c r="AD93" s="230"/>
      <c r="AE93" s="230"/>
      <c r="AG93" s="230"/>
      <c r="AH93" s="230"/>
      <c r="AI93" s="230"/>
    </row>
    <row r="94" spans="2:44" s="237" customFormat="1" x14ac:dyDescent="0.25">
      <c r="B94" s="230"/>
      <c r="C94" s="230"/>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G94" s="230"/>
      <c r="AH94" s="230"/>
      <c r="AI94" s="230"/>
    </row>
    <row r="95" spans="2:44" s="237" customFormat="1" x14ac:dyDescent="0.25">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G95" s="230"/>
      <c r="AH95" s="230"/>
      <c r="AI95" s="230"/>
    </row>
    <row r="96" spans="2:44" s="237" customFormat="1" x14ac:dyDescent="0.25">
      <c r="B96" s="230"/>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G96" s="230"/>
      <c r="AH96" s="230"/>
      <c r="AI96" s="230"/>
    </row>
    <row r="97" spans="2:35" s="237" customFormat="1" x14ac:dyDescent="0.25">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G97" s="230"/>
      <c r="AH97" s="230"/>
      <c r="AI97" s="230"/>
    </row>
    <row r="98" spans="2:35" s="237" customFormat="1" x14ac:dyDescent="0.25">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G98" s="230"/>
      <c r="AH98" s="230"/>
      <c r="AI98" s="230"/>
    </row>
    <row r="99" spans="2:35" s="237" customFormat="1" x14ac:dyDescent="0.25">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G99" s="230"/>
      <c r="AH99" s="230"/>
      <c r="AI99" s="230"/>
    </row>
    <row r="100" spans="2:35" s="237" customFormat="1" x14ac:dyDescent="0.25">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G100" s="230"/>
      <c r="AH100" s="230"/>
      <c r="AI100" s="230"/>
    </row>
    <row r="101" spans="2:35" s="237" customFormat="1" x14ac:dyDescent="0.25">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E101" s="230"/>
      <c r="AG101" s="230"/>
      <c r="AH101" s="230"/>
      <c r="AI101" s="230"/>
    </row>
    <row r="102" spans="2:35" s="237" customFormat="1" x14ac:dyDescent="0.25">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0"/>
      <c r="AE102" s="230"/>
      <c r="AG102" s="230"/>
      <c r="AH102" s="230"/>
      <c r="AI102" s="230"/>
    </row>
    <row r="103" spans="2:35" s="237" customFormat="1" x14ac:dyDescent="0.25">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c r="AA103" s="230"/>
      <c r="AB103" s="230"/>
      <c r="AC103" s="230"/>
      <c r="AD103" s="230"/>
      <c r="AE103" s="230"/>
      <c r="AG103" s="230"/>
      <c r="AH103" s="230"/>
      <c r="AI103" s="230"/>
    </row>
    <row r="104" spans="2:35" s="237" customFormat="1" x14ac:dyDescent="0.25">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G104" s="230"/>
      <c r="AH104" s="230"/>
      <c r="AI104" s="230"/>
    </row>
    <row r="105" spans="2:35" s="237" customFormat="1" x14ac:dyDescent="0.25">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G105" s="230"/>
      <c r="AH105" s="230"/>
      <c r="AI105" s="230"/>
    </row>
    <row r="106" spans="2:35" s="237" customFormat="1" x14ac:dyDescent="0.25">
      <c r="B106" s="230"/>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G106" s="230"/>
      <c r="AH106" s="230"/>
      <c r="AI106" s="230"/>
    </row>
    <row r="107" spans="2:35" s="237" customFormat="1" x14ac:dyDescent="0.25">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230"/>
      <c r="AG107" s="230"/>
      <c r="AH107" s="230"/>
      <c r="AI107" s="230"/>
    </row>
    <row r="108" spans="2:35" s="237" customFormat="1" x14ac:dyDescent="0.25">
      <c r="B108" s="230"/>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G108" s="230"/>
      <c r="AH108" s="230"/>
      <c r="AI108" s="230"/>
    </row>
    <row r="109" spans="2:35" s="237" customFormat="1" x14ac:dyDescent="0.25">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c r="AA109" s="230"/>
      <c r="AB109" s="230"/>
      <c r="AC109" s="230"/>
      <c r="AD109" s="230"/>
      <c r="AE109" s="230"/>
      <c r="AG109" s="230"/>
      <c r="AH109" s="230"/>
      <c r="AI109" s="230"/>
    </row>
    <row r="110" spans="2:35" s="237" customFormat="1" x14ac:dyDescent="0.25">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c r="AA110" s="230"/>
      <c r="AB110" s="230"/>
      <c r="AC110" s="230"/>
      <c r="AD110" s="230"/>
      <c r="AE110" s="230"/>
      <c r="AG110" s="230"/>
      <c r="AH110" s="230"/>
      <c r="AI110" s="230"/>
    </row>
    <row r="111" spans="2:35" s="237" customFormat="1" x14ac:dyDescent="0.25">
      <c r="B111" s="230"/>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G111" s="230"/>
      <c r="AH111" s="230"/>
      <c r="AI111" s="230"/>
    </row>
    <row r="112" spans="2:35" s="237" customFormat="1" x14ac:dyDescent="0.25">
      <c r="B112" s="230"/>
      <c r="C112" s="230"/>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0"/>
      <c r="AB112" s="230"/>
      <c r="AC112" s="230"/>
      <c r="AD112" s="230"/>
      <c r="AE112" s="230"/>
      <c r="AG112" s="230"/>
      <c r="AH112" s="230"/>
      <c r="AI112" s="230"/>
    </row>
    <row r="113" spans="2:35" s="237" customFormat="1" x14ac:dyDescent="0.25">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G113" s="230"/>
      <c r="AH113" s="230"/>
      <c r="AI113" s="230"/>
    </row>
    <row r="114" spans="2:35" s="237" customFormat="1" x14ac:dyDescent="0.25">
      <c r="B114" s="230"/>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c r="AB114" s="230"/>
      <c r="AC114" s="230"/>
      <c r="AD114" s="230"/>
      <c r="AE114" s="230"/>
      <c r="AG114" s="230"/>
      <c r="AH114" s="230"/>
      <c r="AI114" s="230"/>
    </row>
    <row r="115" spans="2:35" s="237" customFormat="1" x14ac:dyDescent="0.25">
      <c r="B115" s="230"/>
      <c r="C115" s="230"/>
      <c r="D115" s="230"/>
      <c r="E115" s="230"/>
      <c r="F115" s="230"/>
      <c r="G115" s="230"/>
      <c r="H115" s="230"/>
      <c r="I115" s="230"/>
      <c r="J115" s="230"/>
      <c r="K115" s="230"/>
      <c r="L115" s="230"/>
      <c r="M115" s="230"/>
      <c r="N115" s="230"/>
      <c r="O115" s="230"/>
      <c r="P115" s="230"/>
      <c r="Q115" s="230"/>
      <c r="R115" s="230"/>
      <c r="S115" s="230"/>
      <c r="T115" s="230"/>
      <c r="U115" s="230"/>
      <c r="V115" s="230"/>
      <c r="W115" s="230"/>
      <c r="X115" s="230"/>
      <c r="Y115" s="230"/>
      <c r="Z115" s="230"/>
      <c r="AA115" s="230"/>
      <c r="AB115" s="230"/>
      <c r="AC115" s="230"/>
      <c r="AD115" s="230"/>
      <c r="AE115" s="230"/>
      <c r="AG115" s="230"/>
      <c r="AH115" s="230"/>
      <c r="AI115" s="230"/>
    </row>
    <row r="116" spans="2:35" s="237" customFormat="1" x14ac:dyDescent="0.25">
      <c r="B116" s="230"/>
      <c r="C116" s="230"/>
      <c r="D116" s="230"/>
      <c r="E116" s="230"/>
      <c r="F116" s="230"/>
      <c r="G116" s="230"/>
      <c r="H116" s="230"/>
      <c r="I116" s="230"/>
      <c r="J116" s="230"/>
      <c r="K116" s="230"/>
      <c r="L116" s="230"/>
      <c r="M116" s="230"/>
      <c r="N116" s="230"/>
      <c r="O116" s="230"/>
      <c r="P116" s="230"/>
      <c r="Q116" s="230"/>
      <c r="R116" s="230"/>
      <c r="S116" s="230"/>
      <c r="T116" s="230"/>
      <c r="U116" s="230"/>
      <c r="V116" s="230"/>
      <c r="W116" s="230"/>
      <c r="X116" s="230"/>
      <c r="Y116" s="230"/>
      <c r="Z116" s="230"/>
      <c r="AA116" s="230"/>
      <c r="AB116" s="230"/>
      <c r="AC116" s="230"/>
      <c r="AD116" s="230"/>
      <c r="AE116" s="230"/>
      <c r="AG116" s="230"/>
      <c r="AH116" s="230"/>
      <c r="AI116" s="230"/>
    </row>
    <row r="117" spans="2:35" s="237" customFormat="1" x14ac:dyDescent="0.25">
      <c r="B117" s="230"/>
      <c r="C117" s="230"/>
      <c r="D117" s="230"/>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c r="AA117" s="230"/>
      <c r="AB117" s="230"/>
      <c r="AC117" s="230"/>
      <c r="AD117" s="230"/>
      <c r="AE117" s="230"/>
      <c r="AG117" s="230"/>
      <c r="AH117" s="230"/>
      <c r="AI117" s="230"/>
    </row>
    <row r="118" spans="2:35" s="237" customFormat="1" x14ac:dyDescent="0.25">
      <c r="B118" s="230"/>
      <c r="C118" s="230"/>
      <c r="D118" s="230"/>
      <c r="E118" s="230"/>
      <c r="F118" s="230"/>
      <c r="G118" s="230"/>
      <c r="H118" s="230"/>
      <c r="I118" s="230"/>
      <c r="J118" s="230"/>
      <c r="K118" s="230"/>
      <c r="L118" s="230"/>
      <c r="M118" s="230"/>
      <c r="N118" s="230"/>
      <c r="O118" s="230"/>
      <c r="P118" s="230"/>
      <c r="Q118" s="230"/>
      <c r="R118" s="230"/>
      <c r="S118" s="230"/>
      <c r="T118" s="230"/>
      <c r="U118" s="230"/>
      <c r="V118" s="230"/>
      <c r="W118" s="230"/>
      <c r="X118" s="230"/>
      <c r="Y118" s="230"/>
      <c r="Z118" s="230"/>
      <c r="AA118" s="230"/>
      <c r="AB118" s="230"/>
      <c r="AC118" s="230"/>
      <c r="AD118" s="230"/>
      <c r="AE118" s="230"/>
      <c r="AG118" s="230"/>
      <c r="AH118" s="230"/>
      <c r="AI118" s="230"/>
    </row>
    <row r="119" spans="2:35" s="237" customFormat="1" x14ac:dyDescent="0.25">
      <c r="B119" s="230"/>
      <c r="C119" s="230"/>
      <c r="D119" s="230"/>
      <c r="E119" s="230"/>
      <c r="F119" s="230"/>
      <c r="G119" s="230"/>
      <c r="H119" s="230"/>
      <c r="I119" s="230"/>
      <c r="J119" s="230"/>
      <c r="K119" s="230"/>
      <c r="L119" s="230"/>
      <c r="M119" s="230"/>
      <c r="N119" s="230"/>
      <c r="O119" s="230"/>
      <c r="P119" s="230"/>
      <c r="Q119" s="230"/>
      <c r="R119" s="230"/>
      <c r="S119" s="230"/>
      <c r="T119" s="230"/>
      <c r="U119" s="230"/>
      <c r="V119" s="230"/>
      <c r="W119" s="230"/>
      <c r="X119" s="230"/>
      <c r="Y119" s="230"/>
      <c r="Z119" s="230"/>
      <c r="AA119" s="230"/>
      <c r="AB119" s="230"/>
      <c r="AC119" s="230"/>
      <c r="AD119" s="230"/>
      <c r="AE119" s="230"/>
      <c r="AG119" s="230"/>
      <c r="AH119" s="230"/>
      <c r="AI119" s="230"/>
    </row>
    <row r="120" spans="2:35" s="237" customFormat="1" x14ac:dyDescent="0.25">
      <c r="B120" s="230"/>
      <c r="C120" s="230"/>
      <c r="D120" s="230"/>
      <c r="E120" s="230"/>
      <c r="F120" s="230"/>
      <c r="G120" s="230"/>
      <c r="H120" s="230"/>
      <c r="I120" s="230"/>
      <c r="J120" s="230"/>
      <c r="K120" s="230"/>
      <c r="L120" s="230"/>
      <c r="M120" s="230"/>
      <c r="N120" s="230"/>
      <c r="O120" s="230"/>
      <c r="P120" s="230"/>
      <c r="Q120" s="230"/>
      <c r="R120" s="230"/>
      <c r="S120" s="230"/>
      <c r="T120" s="230"/>
      <c r="U120" s="230"/>
      <c r="V120" s="230"/>
      <c r="W120" s="230"/>
      <c r="X120" s="230"/>
      <c r="Y120" s="230"/>
      <c r="Z120" s="230"/>
      <c r="AA120" s="230"/>
      <c r="AB120" s="230"/>
      <c r="AC120" s="230"/>
      <c r="AD120" s="230"/>
      <c r="AE120" s="230"/>
      <c r="AG120" s="230"/>
      <c r="AH120" s="230"/>
      <c r="AI120" s="230"/>
    </row>
    <row r="121" spans="2:35" s="237" customFormat="1" x14ac:dyDescent="0.25">
      <c r="B121" s="230"/>
      <c r="C121" s="230"/>
      <c r="D121" s="230"/>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G121" s="230"/>
      <c r="AH121" s="230"/>
      <c r="AI121" s="230"/>
    </row>
    <row r="122" spans="2:35" s="237" customFormat="1" x14ac:dyDescent="0.25">
      <c r="B122" s="230"/>
      <c r="C122" s="230"/>
      <c r="D122" s="230"/>
      <c r="E122" s="230"/>
      <c r="F122" s="230"/>
      <c r="G122" s="230"/>
      <c r="H122" s="230"/>
      <c r="I122" s="230"/>
      <c r="J122" s="230"/>
      <c r="K122" s="230"/>
      <c r="L122" s="230"/>
      <c r="M122" s="230"/>
      <c r="N122" s="230"/>
      <c r="O122" s="230"/>
      <c r="P122" s="230"/>
      <c r="Q122" s="230"/>
      <c r="R122" s="230"/>
      <c r="S122" s="230"/>
      <c r="T122" s="230"/>
      <c r="U122" s="230"/>
      <c r="V122" s="230"/>
      <c r="W122" s="230"/>
      <c r="X122" s="230"/>
      <c r="Y122" s="230"/>
      <c r="Z122" s="230"/>
      <c r="AA122" s="230"/>
      <c r="AB122" s="230"/>
      <c r="AC122" s="230"/>
      <c r="AD122" s="230"/>
      <c r="AE122" s="230"/>
      <c r="AG122" s="230"/>
      <c r="AH122" s="230"/>
      <c r="AI122" s="230"/>
    </row>
    <row r="123" spans="2:35" s="237" customFormat="1" x14ac:dyDescent="0.25">
      <c r="B123" s="230"/>
      <c r="C123" s="230"/>
      <c r="D123" s="230"/>
      <c r="E123" s="230"/>
      <c r="F123" s="230"/>
      <c r="G123" s="230"/>
      <c r="H123" s="230"/>
      <c r="I123" s="230"/>
      <c r="J123" s="230"/>
      <c r="K123" s="230"/>
      <c r="L123" s="230"/>
      <c r="M123" s="230"/>
      <c r="N123" s="230"/>
      <c r="O123" s="230"/>
      <c r="P123" s="230"/>
      <c r="Q123" s="230"/>
      <c r="R123" s="230"/>
      <c r="S123" s="230"/>
      <c r="T123" s="230"/>
      <c r="U123" s="230"/>
      <c r="V123" s="230"/>
      <c r="W123" s="230"/>
      <c r="X123" s="230"/>
      <c r="Y123" s="230"/>
      <c r="Z123" s="230"/>
      <c r="AA123" s="230"/>
      <c r="AB123" s="230"/>
      <c r="AC123" s="230"/>
      <c r="AD123" s="230"/>
      <c r="AE123" s="230"/>
      <c r="AG123" s="230"/>
      <c r="AH123" s="230"/>
      <c r="AI123" s="230"/>
    </row>
    <row r="124" spans="2:35" s="237" customFormat="1" x14ac:dyDescent="0.25">
      <c r="B124" s="230"/>
      <c r="C124" s="230"/>
      <c r="D124" s="230"/>
      <c r="E124" s="230"/>
      <c r="F124" s="230"/>
      <c r="G124" s="230"/>
      <c r="H124" s="230"/>
      <c r="I124" s="230"/>
      <c r="J124" s="230"/>
      <c r="K124" s="230"/>
      <c r="L124" s="230"/>
      <c r="M124" s="230"/>
      <c r="N124" s="230"/>
      <c r="O124" s="230"/>
      <c r="P124" s="230"/>
      <c r="Q124" s="230"/>
      <c r="R124" s="230"/>
      <c r="S124" s="230"/>
      <c r="T124" s="230"/>
      <c r="U124" s="230"/>
      <c r="V124" s="230"/>
      <c r="W124" s="230"/>
      <c r="X124" s="230"/>
      <c r="Y124" s="230"/>
      <c r="Z124" s="230"/>
      <c r="AA124" s="230"/>
      <c r="AB124" s="230"/>
      <c r="AC124" s="230"/>
      <c r="AD124" s="230"/>
      <c r="AE124" s="230"/>
      <c r="AG124" s="230"/>
      <c r="AH124" s="230"/>
      <c r="AI124" s="230"/>
    </row>
    <row r="125" spans="2:35" s="237" customFormat="1" x14ac:dyDescent="0.25">
      <c r="B125" s="230"/>
      <c r="C125" s="230"/>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c r="AA125" s="230"/>
      <c r="AB125" s="230"/>
      <c r="AC125" s="230"/>
      <c r="AD125" s="230"/>
      <c r="AE125" s="230"/>
      <c r="AG125" s="230"/>
      <c r="AH125" s="230"/>
      <c r="AI125" s="230"/>
    </row>
    <row r="126" spans="2:35" s="237" customFormat="1" x14ac:dyDescent="0.25">
      <c r="B126" s="230"/>
      <c r="C126" s="230"/>
      <c r="D126" s="230"/>
      <c r="E126" s="230"/>
      <c r="F126" s="230"/>
      <c r="G126" s="230"/>
      <c r="H126" s="230"/>
      <c r="I126" s="230"/>
      <c r="J126" s="230"/>
      <c r="K126" s="230"/>
      <c r="L126" s="230"/>
      <c r="M126" s="230"/>
      <c r="N126" s="230"/>
      <c r="O126" s="230"/>
      <c r="P126" s="230"/>
      <c r="Q126" s="230"/>
      <c r="R126" s="230"/>
      <c r="S126" s="230"/>
      <c r="T126" s="230"/>
      <c r="U126" s="230"/>
      <c r="V126" s="230"/>
      <c r="W126" s="230"/>
      <c r="X126" s="230"/>
      <c r="Y126" s="230"/>
      <c r="Z126" s="230"/>
      <c r="AA126" s="230"/>
      <c r="AB126" s="230"/>
      <c r="AC126" s="230"/>
      <c r="AD126" s="230"/>
      <c r="AE126" s="230"/>
      <c r="AG126" s="230"/>
      <c r="AH126" s="230"/>
      <c r="AI126" s="230"/>
    </row>
    <row r="127" spans="2:35" s="237" customFormat="1" x14ac:dyDescent="0.25">
      <c r="B127" s="230"/>
      <c r="C127" s="230"/>
      <c r="D127" s="230"/>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c r="AA127" s="230"/>
      <c r="AB127" s="230"/>
      <c r="AC127" s="230"/>
      <c r="AD127" s="230"/>
      <c r="AE127" s="230"/>
      <c r="AG127" s="230"/>
      <c r="AH127" s="230"/>
      <c r="AI127" s="230"/>
    </row>
    <row r="128" spans="2:35" s="237" customFormat="1" x14ac:dyDescent="0.25">
      <c r="B128" s="230"/>
      <c r="C128" s="230"/>
      <c r="D128" s="230"/>
      <c r="E128" s="230"/>
      <c r="F128" s="230"/>
      <c r="G128" s="230"/>
      <c r="H128" s="230"/>
      <c r="I128" s="230"/>
      <c r="J128" s="230"/>
      <c r="K128" s="230"/>
      <c r="L128" s="230"/>
      <c r="M128" s="230"/>
      <c r="N128" s="230"/>
      <c r="O128" s="230"/>
      <c r="P128" s="230"/>
      <c r="Q128" s="230"/>
      <c r="R128" s="230"/>
      <c r="S128" s="230"/>
      <c r="T128" s="230"/>
      <c r="U128" s="230"/>
      <c r="V128" s="230"/>
      <c r="W128" s="230"/>
      <c r="X128" s="230"/>
      <c r="Y128" s="230"/>
      <c r="Z128" s="230"/>
      <c r="AA128" s="230"/>
      <c r="AB128" s="230"/>
      <c r="AC128" s="230"/>
      <c r="AD128" s="230"/>
      <c r="AE128" s="230"/>
      <c r="AG128" s="230"/>
      <c r="AH128" s="230"/>
      <c r="AI128" s="230"/>
    </row>
    <row r="129" spans="2:35" s="237" customFormat="1" x14ac:dyDescent="0.25">
      <c r="B129" s="230"/>
      <c r="C129" s="230"/>
      <c r="D129" s="230"/>
      <c r="E129" s="230"/>
      <c r="F129" s="230"/>
      <c r="G129" s="230"/>
      <c r="H129" s="230"/>
      <c r="I129" s="230"/>
      <c r="J129" s="230"/>
      <c r="K129" s="230"/>
      <c r="L129" s="230"/>
      <c r="M129" s="230"/>
      <c r="N129" s="230"/>
      <c r="O129" s="230"/>
      <c r="P129" s="230"/>
      <c r="Q129" s="230"/>
      <c r="R129" s="230"/>
      <c r="S129" s="230"/>
      <c r="T129" s="230"/>
      <c r="U129" s="230"/>
      <c r="V129" s="230"/>
      <c r="W129" s="230"/>
      <c r="X129" s="230"/>
      <c r="Y129" s="230"/>
      <c r="Z129" s="230"/>
      <c r="AA129" s="230"/>
      <c r="AB129" s="230"/>
      <c r="AC129" s="230"/>
      <c r="AD129" s="230"/>
      <c r="AE129" s="230"/>
      <c r="AG129" s="230"/>
      <c r="AH129" s="230"/>
      <c r="AI129" s="230"/>
    </row>
    <row r="130" spans="2:35" s="237" customFormat="1" x14ac:dyDescent="0.25">
      <c r="B130" s="230"/>
      <c r="C130" s="230"/>
      <c r="D130" s="230"/>
      <c r="E130" s="230"/>
      <c r="F130" s="230"/>
      <c r="G130" s="230"/>
      <c r="H130" s="230"/>
      <c r="I130" s="230"/>
      <c r="J130" s="230"/>
      <c r="K130" s="230"/>
      <c r="L130" s="230"/>
      <c r="M130" s="230"/>
      <c r="N130" s="230"/>
      <c r="O130" s="230"/>
      <c r="P130" s="230"/>
      <c r="Q130" s="230"/>
      <c r="R130" s="230"/>
      <c r="S130" s="230"/>
      <c r="T130" s="230"/>
      <c r="U130" s="230"/>
      <c r="V130" s="230"/>
      <c r="W130" s="230"/>
      <c r="X130" s="230"/>
      <c r="Y130" s="230"/>
      <c r="Z130" s="230"/>
      <c r="AA130" s="230"/>
      <c r="AB130" s="230"/>
      <c r="AC130" s="230"/>
      <c r="AD130" s="230"/>
      <c r="AE130" s="230"/>
      <c r="AG130" s="230"/>
      <c r="AH130" s="230"/>
      <c r="AI130" s="230"/>
    </row>
    <row r="131" spans="2:35" s="237" customFormat="1" x14ac:dyDescent="0.25">
      <c r="B131" s="230"/>
      <c r="C131" s="230"/>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G131" s="230"/>
      <c r="AH131" s="230"/>
      <c r="AI131" s="230"/>
    </row>
    <row r="132" spans="2:35" s="237" customFormat="1" x14ac:dyDescent="0.25">
      <c r="B132" s="230"/>
      <c r="C132" s="230"/>
      <c r="D132" s="230"/>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c r="AA132" s="230"/>
      <c r="AB132" s="230"/>
      <c r="AC132" s="230"/>
      <c r="AD132" s="230"/>
      <c r="AE132" s="230"/>
      <c r="AG132" s="230"/>
      <c r="AH132" s="230"/>
      <c r="AI132" s="230"/>
    </row>
    <row r="133" spans="2:35" s="237" customFormat="1" x14ac:dyDescent="0.25">
      <c r="B133" s="230"/>
      <c r="C133" s="230"/>
      <c r="D133" s="230"/>
      <c r="E133" s="230"/>
      <c r="F133" s="230"/>
      <c r="G133" s="230"/>
      <c r="H133" s="230"/>
      <c r="I133" s="230"/>
      <c r="J133" s="230"/>
      <c r="K133" s="230"/>
      <c r="L133" s="230"/>
      <c r="M133" s="230"/>
      <c r="N133" s="230"/>
      <c r="O133" s="230"/>
      <c r="P133" s="230"/>
      <c r="Q133" s="230"/>
      <c r="R133" s="230"/>
      <c r="S133" s="230"/>
      <c r="T133" s="230"/>
      <c r="U133" s="230"/>
      <c r="V133" s="230"/>
      <c r="W133" s="230"/>
      <c r="X133" s="230"/>
      <c r="Y133" s="230"/>
      <c r="Z133" s="230"/>
      <c r="AA133" s="230"/>
      <c r="AB133" s="230"/>
      <c r="AC133" s="230"/>
      <c r="AD133" s="230"/>
      <c r="AE133" s="230"/>
      <c r="AG133" s="230"/>
      <c r="AH133" s="230"/>
      <c r="AI133" s="230"/>
    </row>
    <row r="134" spans="2:35" s="237" customFormat="1" x14ac:dyDescent="0.25">
      <c r="B134" s="230"/>
      <c r="C134" s="230"/>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G134" s="230"/>
      <c r="AH134" s="230"/>
      <c r="AI134" s="230"/>
    </row>
    <row r="135" spans="2:35" s="237" customFormat="1" x14ac:dyDescent="0.25">
      <c r="B135" s="230"/>
      <c r="C135" s="230"/>
      <c r="D135" s="230"/>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0"/>
      <c r="AA135" s="230"/>
      <c r="AB135" s="230"/>
      <c r="AC135" s="230"/>
      <c r="AD135" s="230"/>
      <c r="AE135" s="230"/>
      <c r="AG135" s="230"/>
      <c r="AH135" s="230"/>
      <c r="AI135" s="230"/>
    </row>
    <row r="136" spans="2:35" s="237" customFormat="1" x14ac:dyDescent="0.25">
      <c r="B136" s="230"/>
      <c r="C136" s="230"/>
      <c r="D136" s="230"/>
      <c r="E136" s="230"/>
      <c r="F136" s="230"/>
      <c r="G136" s="230"/>
      <c r="H136" s="230"/>
      <c r="I136" s="230"/>
      <c r="J136" s="230"/>
      <c r="K136" s="230"/>
      <c r="L136" s="230"/>
      <c r="M136" s="230"/>
      <c r="N136" s="230"/>
      <c r="O136" s="230"/>
      <c r="P136" s="230"/>
      <c r="Q136" s="230"/>
      <c r="R136" s="230"/>
      <c r="S136" s="230"/>
      <c r="T136" s="230"/>
      <c r="U136" s="230"/>
      <c r="V136" s="230"/>
      <c r="W136" s="230"/>
      <c r="X136" s="230"/>
      <c r="Y136" s="230"/>
      <c r="Z136" s="230"/>
      <c r="AA136" s="230"/>
      <c r="AB136" s="230"/>
      <c r="AC136" s="230"/>
      <c r="AD136" s="230"/>
      <c r="AE136" s="230"/>
      <c r="AG136" s="230"/>
      <c r="AH136" s="230"/>
      <c r="AI136" s="230"/>
    </row>
    <row r="137" spans="2:35" s="237" customFormat="1" x14ac:dyDescent="0.25">
      <c r="B137" s="230"/>
      <c r="C137" s="230"/>
      <c r="D137" s="230"/>
      <c r="E137" s="230"/>
      <c r="F137" s="230"/>
      <c r="G137" s="230"/>
      <c r="H137" s="230"/>
      <c r="I137" s="230"/>
      <c r="J137" s="230"/>
      <c r="K137" s="230"/>
      <c r="L137" s="230"/>
      <c r="M137" s="230"/>
      <c r="N137" s="230"/>
      <c r="O137" s="230"/>
      <c r="P137" s="230"/>
      <c r="Q137" s="230"/>
      <c r="R137" s="230"/>
      <c r="S137" s="230"/>
      <c r="T137" s="230"/>
      <c r="U137" s="230"/>
      <c r="V137" s="230"/>
      <c r="W137" s="230"/>
      <c r="X137" s="230"/>
      <c r="Y137" s="230"/>
      <c r="Z137" s="230"/>
      <c r="AA137" s="230"/>
      <c r="AB137" s="230"/>
      <c r="AC137" s="230"/>
      <c r="AD137" s="230"/>
      <c r="AE137" s="230"/>
      <c r="AG137" s="230"/>
      <c r="AH137" s="230"/>
      <c r="AI137" s="230"/>
    </row>
    <row r="138" spans="2:35" s="237" customFormat="1" x14ac:dyDescent="0.25">
      <c r="B138" s="230"/>
      <c r="C138" s="230"/>
      <c r="D138" s="230"/>
      <c r="E138" s="230"/>
      <c r="F138" s="230"/>
      <c r="G138" s="230"/>
      <c r="H138" s="230"/>
      <c r="I138" s="230"/>
      <c r="J138" s="230"/>
      <c r="K138" s="230"/>
      <c r="L138" s="230"/>
      <c r="M138" s="230"/>
      <c r="N138" s="230"/>
      <c r="O138" s="230"/>
      <c r="P138" s="230"/>
      <c r="Q138" s="230"/>
      <c r="R138" s="230"/>
      <c r="S138" s="230"/>
      <c r="T138" s="230"/>
      <c r="U138" s="230"/>
      <c r="V138" s="230"/>
      <c r="W138" s="230"/>
      <c r="X138" s="230"/>
      <c r="Y138" s="230"/>
      <c r="Z138" s="230"/>
      <c r="AA138" s="230"/>
      <c r="AB138" s="230"/>
      <c r="AC138" s="230"/>
      <c r="AD138" s="230"/>
      <c r="AE138" s="230"/>
      <c r="AG138" s="230"/>
      <c r="AH138" s="230"/>
      <c r="AI138" s="230"/>
    </row>
    <row r="139" spans="2:35" s="237" customFormat="1" x14ac:dyDescent="0.25">
      <c r="B139" s="230"/>
      <c r="C139" s="230"/>
      <c r="D139" s="230"/>
      <c r="E139" s="230"/>
      <c r="F139" s="230"/>
      <c r="G139" s="230"/>
      <c r="H139" s="230"/>
      <c r="I139" s="230"/>
      <c r="J139" s="230"/>
      <c r="K139" s="230"/>
      <c r="L139" s="230"/>
      <c r="M139" s="230"/>
      <c r="N139" s="230"/>
      <c r="O139" s="230"/>
      <c r="P139" s="230"/>
      <c r="Q139" s="230"/>
      <c r="R139" s="230"/>
      <c r="S139" s="230"/>
      <c r="T139" s="230"/>
      <c r="U139" s="230"/>
      <c r="V139" s="230"/>
      <c r="W139" s="230"/>
      <c r="X139" s="230"/>
      <c r="Y139" s="230"/>
      <c r="Z139" s="230"/>
      <c r="AA139" s="230"/>
      <c r="AB139" s="230"/>
      <c r="AC139" s="230"/>
      <c r="AD139" s="230"/>
      <c r="AE139" s="230"/>
      <c r="AG139" s="230"/>
      <c r="AH139" s="230"/>
      <c r="AI139" s="230"/>
    </row>
    <row r="140" spans="2:35" s="237" customFormat="1" x14ac:dyDescent="0.25">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G140" s="230"/>
      <c r="AH140" s="230"/>
      <c r="AI140" s="230"/>
    </row>
    <row r="141" spans="2:35" s="237" customFormat="1" x14ac:dyDescent="0.25">
      <c r="B141" s="230"/>
      <c r="C141" s="230"/>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G141" s="230"/>
      <c r="AH141" s="230"/>
      <c r="AI141" s="230"/>
    </row>
    <row r="142" spans="2:35" s="237" customFormat="1" x14ac:dyDescent="0.25">
      <c r="B142" s="230"/>
      <c r="C142" s="230"/>
      <c r="D142" s="230"/>
      <c r="E142" s="230"/>
      <c r="F142" s="230"/>
      <c r="G142" s="230"/>
      <c r="H142" s="230"/>
      <c r="I142" s="230"/>
      <c r="J142" s="230"/>
      <c r="K142" s="230"/>
      <c r="L142" s="230"/>
      <c r="M142" s="230"/>
      <c r="N142" s="230"/>
      <c r="O142" s="230"/>
      <c r="P142" s="230"/>
      <c r="Q142" s="230"/>
      <c r="R142" s="230"/>
      <c r="S142" s="230"/>
      <c r="T142" s="230"/>
      <c r="U142" s="230"/>
      <c r="V142" s="230"/>
      <c r="W142" s="230"/>
      <c r="X142" s="230"/>
      <c r="Y142" s="230"/>
      <c r="Z142" s="230"/>
      <c r="AA142" s="230"/>
      <c r="AB142" s="230"/>
      <c r="AC142" s="230"/>
      <c r="AD142" s="230"/>
      <c r="AE142" s="230"/>
      <c r="AG142" s="230"/>
      <c r="AH142" s="230"/>
      <c r="AI142" s="230"/>
    </row>
    <row r="143" spans="2:35" s="237" customFormat="1" x14ac:dyDescent="0.25">
      <c r="B143" s="230"/>
      <c r="C143" s="230"/>
      <c r="D143" s="230"/>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G143" s="230"/>
      <c r="AH143" s="230"/>
      <c r="AI143" s="230"/>
    </row>
    <row r="144" spans="2:35" s="237" customFormat="1" x14ac:dyDescent="0.25">
      <c r="B144" s="230"/>
      <c r="C144" s="230"/>
      <c r="D144" s="230"/>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G144" s="230"/>
      <c r="AH144" s="230"/>
      <c r="AI144" s="230"/>
    </row>
    <row r="145" spans="2:35" s="237" customFormat="1" x14ac:dyDescent="0.25">
      <c r="B145" s="230"/>
      <c r="C145" s="230"/>
      <c r="D145" s="230"/>
      <c r="E145" s="230"/>
      <c r="F145" s="230"/>
      <c r="G145" s="230"/>
      <c r="H145" s="230"/>
      <c r="I145" s="230"/>
      <c r="J145" s="230"/>
      <c r="K145" s="230"/>
      <c r="L145" s="230"/>
      <c r="M145" s="230"/>
      <c r="N145" s="230"/>
      <c r="O145" s="230"/>
      <c r="P145" s="230"/>
      <c r="Q145" s="230"/>
      <c r="R145" s="230"/>
      <c r="S145" s="230"/>
      <c r="T145" s="230"/>
      <c r="U145" s="230"/>
      <c r="V145" s="230"/>
      <c r="W145" s="230"/>
      <c r="X145" s="230"/>
      <c r="Y145" s="230"/>
      <c r="Z145" s="230"/>
      <c r="AA145" s="230"/>
      <c r="AB145" s="230"/>
      <c r="AC145" s="230"/>
      <c r="AD145" s="230"/>
      <c r="AE145" s="230"/>
      <c r="AG145" s="230"/>
      <c r="AH145" s="230"/>
      <c r="AI145" s="230"/>
    </row>
    <row r="146" spans="2:35" s="237" customFormat="1" x14ac:dyDescent="0.25">
      <c r="B146" s="230"/>
      <c r="C146" s="230"/>
      <c r="D146" s="230"/>
      <c r="E146" s="230"/>
      <c r="F146" s="230"/>
      <c r="G146" s="230"/>
      <c r="H146" s="230"/>
      <c r="I146" s="230"/>
      <c r="J146" s="230"/>
      <c r="K146" s="230"/>
      <c r="L146" s="230"/>
      <c r="M146" s="230"/>
      <c r="N146" s="230"/>
      <c r="O146" s="230"/>
      <c r="P146" s="230"/>
      <c r="Q146" s="230"/>
      <c r="R146" s="230"/>
      <c r="S146" s="230"/>
      <c r="T146" s="230"/>
      <c r="U146" s="230"/>
      <c r="V146" s="230"/>
      <c r="W146" s="230"/>
      <c r="X146" s="230"/>
      <c r="Y146" s="230"/>
      <c r="Z146" s="230"/>
      <c r="AA146" s="230"/>
      <c r="AB146" s="230"/>
      <c r="AC146" s="230"/>
      <c r="AD146" s="230"/>
      <c r="AE146" s="230"/>
      <c r="AG146" s="230"/>
      <c r="AH146" s="230"/>
      <c r="AI146" s="230"/>
    </row>
    <row r="147" spans="2:35" s="237" customFormat="1" x14ac:dyDescent="0.25">
      <c r="B147" s="230"/>
      <c r="C147" s="230"/>
      <c r="D147" s="230"/>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c r="AA147" s="230"/>
      <c r="AB147" s="230"/>
      <c r="AC147" s="230"/>
      <c r="AD147" s="230"/>
      <c r="AE147" s="230"/>
      <c r="AG147" s="230"/>
      <c r="AH147" s="230"/>
      <c r="AI147" s="230"/>
    </row>
    <row r="148" spans="2:35" s="237" customFormat="1" x14ac:dyDescent="0.25">
      <c r="B148" s="230"/>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c r="AB148" s="230"/>
      <c r="AC148" s="230"/>
      <c r="AD148" s="230"/>
      <c r="AE148" s="230"/>
      <c r="AG148" s="230"/>
      <c r="AH148" s="230"/>
      <c r="AI148" s="230"/>
    </row>
    <row r="149" spans="2:35" s="237" customFormat="1" x14ac:dyDescent="0.25">
      <c r="B149" s="230"/>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G149" s="230"/>
      <c r="AH149" s="230"/>
      <c r="AI149" s="230"/>
    </row>
    <row r="150" spans="2:35" s="237" customFormat="1" x14ac:dyDescent="0.25">
      <c r="B150" s="230"/>
      <c r="C150" s="230"/>
      <c r="D150" s="230"/>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230"/>
      <c r="AB150" s="230"/>
      <c r="AC150" s="230"/>
      <c r="AD150" s="230"/>
      <c r="AE150" s="230"/>
      <c r="AG150" s="230"/>
      <c r="AH150" s="230"/>
      <c r="AI150" s="230"/>
    </row>
    <row r="151" spans="2:35" s="237" customFormat="1" x14ac:dyDescent="0.25">
      <c r="B151" s="230"/>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c r="AB151" s="230"/>
      <c r="AC151" s="230"/>
      <c r="AD151" s="230"/>
      <c r="AE151" s="230"/>
      <c r="AG151" s="230"/>
      <c r="AH151" s="230"/>
      <c r="AI151" s="230"/>
    </row>
    <row r="152" spans="2:35" s="237" customFormat="1" x14ac:dyDescent="0.25">
      <c r="B152" s="230"/>
      <c r="C152" s="230"/>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G152" s="230"/>
      <c r="AH152" s="230"/>
      <c r="AI152" s="230"/>
    </row>
    <row r="153" spans="2:35" s="237" customFormat="1" x14ac:dyDescent="0.25">
      <c r="B153" s="230"/>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230"/>
      <c r="AE153" s="230"/>
      <c r="AG153" s="230"/>
      <c r="AH153" s="230"/>
      <c r="AI153" s="230"/>
    </row>
    <row r="154" spans="2:35" s="237" customFormat="1" x14ac:dyDescent="0.25">
      <c r="B154" s="230"/>
      <c r="C154" s="230"/>
      <c r="D154" s="230"/>
      <c r="E154" s="230"/>
      <c r="F154" s="230"/>
      <c r="G154" s="230"/>
      <c r="H154" s="230"/>
      <c r="I154" s="230"/>
      <c r="J154" s="230"/>
      <c r="K154" s="230"/>
      <c r="L154" s="230"/>
      <c r="M154" s="230"/>
      <c r="N154" s="230"/>
      <c r="O154" s="230"/>
      <c r="P154" s="230"/>
      <c r="Q154" s="230"/>
      <c r="R154" s="230"/>
      <c r="S154" s="230"/>
      <c r="T154" s="230"/>
      <c r="U154" s="230"/>
      <c r="V154" s="230"/>
      <c r="W154" s="230"/>
      <c r="X154" s="230"/>
      <c r="Y154" s="230"/>
      <c r="Z154" s="230"/>
      <c r="AA154" s="230"/>
      <c r="AB154" s="230"/>
      <c r="AC154" s="230"/>
      <c r="AD154" s="230"/>
      <c r="AE154" s="230"/>
      <c r="AG154" s="230"/>
      <c r="AH154" s="230"/>
      <c r="AI154" s="230"/>
    </row>
    <row r="155" spans="2:35" s="237" customFormat="1" x14ac:dyDescent="0.25">
      <c r="B155" s="230"/>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G155" s="230"/>
      <c r="AH155" s="230"/>
      <c r="AI155" s="230"/>
    </row>
    <row r="156" spans="2:35" s="237" customFormat="1" x14ac:dyDescent="0.25">
      <c r="B156" s="230"/>
      <c r="C156" s="230"/>
      <c r="D156" s="230"/>
      <c r="E156" s="230"/>
      <c r="F156" s="230"/>
      <c r="G156" s="230"/>
      <c r="H156" s="230"/>
      <c r="I156" s="230"/>
      <c r="J156" s="230"/>
      <c r="K156" s="230"/>
      <c r="L156" s="230"/>
      <c r="M156" s="230"/>
      <c r="N156" s="230"/>
      <c r="O156" s="230"/>
      <c r="P156" s="230"/>
      <c r="Q156" s="230"/>
      <c r="R156" s="230"/>
      <c r="S156" s="230"/>
      <c r="T156" s="230"/>
      <c r="U156" s="230"/>
      <c r="V156" s="230"/>
      <c r="W156" s="230"/>
      <c r="X156" s="230"/>
      <c r="Y156" s="230"/>
      <c r="Z156" s="230"/>
      <c r="AA156" s="230"/>
      <c r="AB156" s="230"/>
      <c r="AC156" s="230"/>
      <c r="AD156" s="230"/>
      <c r="AE156" s="230"/>
      <c r="AG156" s="230"/>
      <c r="AH156" s="230"/>
      <c r="AI156" s="230"/>
    </row>
    <row r="157" spans="2:35" s="237" customFormat="1" x14ac:dyDescent="0.25">
      <c r="B157" s="230"/>
      <c r="C157" s="230"/>
      <c r="D157" s="230"/>
      <c r="E157" s="230"/>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c r="AB157" s="230"/>
      <c r="AC157" s="230"/>
      <c r="AD157" s="230"/>
      <c r="AE157" s="230"/>
      <c r="AG157" s="230"/>
      <c r="AH157" s="230"/>
      <c r="AI157" s="230"/>
    </row>
    <row r="158" spans="2:35" s="237" customFormat="1" x14ac:dyDescent="0.25">
      <c r="B158" s="230"/>
      <c r="C158" s="230"/>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230"/>
      <c r="AD158" s="230"/>
      <c r="AE158" s="230"/>
      <c r="AG158" s="230"/>
      <c r="AH158" s="230"/>
      <c r="AI158" s="230"/>
    </row>
    <row r="159" spans="2:35" s="237" customFormat="1" x14ac:dyDescent="0.25">
      <c r="B159" s="230"/>
      <c r="C159" s="230"/>
      <c r="D159" s="230"/>
      <c r="E159" s="230"/>
      <c r="F159" s="230"/>
      <c r="G159" s="230"/>
      <c r="H159" s="230"/>
      <c r="I159" s="230"/>
      <c r="J159" s="230"/>
      <c r="K159" s="230"/>
      <c r="L159" s="230"/>
      <c r="M159" s="230"/>
      <c r="N159" s="230"/>
      <c r="O159" s="230"/>
      <c r="P159" s="230"/>
      <c r="Q159" s="230"/>
      <c r="R159" s="230"/>
      <c r="S159" s="230"/>
      <c r="T159" s="230"/>
      <c r="U159" s="230"/>
      <c r="V159" s="230"/>
      <c r="W159" s="230"/>
      <c r="X159" s="230"/>
      <c r="Y159" s="230"/>
      <c r="Z159" s="230"/>
      <c r="AA159" s="230"/>
      <c r="AB159" s="230"/>
      <c r="AC159" s="230"/>
      <c r="AD159" s="230"/>
      <c r="AE159" s="230"/>
      <c r="AG159" s="230"/>
      <c r="AH159" s="230"/>
      <c r="AI159" s="230"/>
    </row>
    <row r="160" spans="2:35" s="237" customFormat="1" x14ac:dyDescent="0.25">
      <c r="B160" s="230"/>
      <c r="C160" s="230"/>
      <c r="D160" s="230"/>
      <c r="E160" s="230"/>
      <c r="F160" s="230"/>
      <c r="G160" s="230"/>
      <c r="H160" s="230"/>
      <c r="I160" s="230"/>
      <c r="J160" s="230"/>
      <c r="K160" s="230"/>
      <c r="L160" s="230"/>
      <c r="M160" s="230"/>
      <c r="N160" s="230"/>
      <c r="O160" s="230"/>
      <c r="P160" s="230"/>
      <c r="Q160" s="230"/>
      <c r="R160" s="230"/>
      <c r="S160" s="230"/>
      <c r="T160" s="230"/>
      <c r="U160" s="230"/>
      <c r="V160" s="230"/>
      <c r="W160" s="230"/>
      <c r="X160" s="230"/>
      <c r="Y160" s="230"/>
      <c r="Z160" s="230"/>
      <c r="AA160" s="230"/>
      <c r="AB160" s="230"/>
      <c r="AC160" s="230"/>
      <c r="AD160" s="230"/>
      <c r="AE160" s="230"/>
      <c r="AG160" s="230"/>
      <c r="AH160" s="230"/>
      <c r="AI160" s="230"/>
    </row>
    <row r="161" spans="2:35" s="237" customFormat="1" x14ac:dyDescent="0.25">
      <c r="B161" s="230"/>
      <c r="C161" s="230"/>
      <c r="D161" s="230"/>
      <c r="E161" s="230"/>
      <c r="F161" s="230"/>
      <c r="G161" s="230"/>
      <c r="H161" s="230"/>
      <c r="I161" s="230"/>
      <c r="J161" s="230"/>
      <c r="K161" s="230"/>
      <c r="L161" s="230"/>
      <c r="M161" s="230"/>
      <c r="N161" s="230"/>
      <c r="O161" s="230"/>
      <c r="P161" s="230"/>
      <c r="Q161" s="230"/>
      <c r="R161" s="230"/>
      <c r="S161" s="230"/>
      <c r="T161" s="230"/>
      <c r="U161" s="230"/>
      <c r="V161" s="230"/>
      <c r="W161" s="230"/>
      <c r="X161" s="230"/>
      <c r="Y161" s="230"/>
      <c r="Z161" s="230"/>
      <c r="AA161" s="230"/>
      <c r="AB161" s="230"/>
      <c r="AC161" s="230"/>
      <c r="AD161" s="230"/>
      <c r="AE161" s="230"/>
      <c r="AG161" s="230"/>
      <c r="AH161" s="230"/>
      <c r="AI161" s="230"/>
    </row>
    <row r="162" spans="2:35" s="237" customFormat="1" x14ac:dyDescent="0.25">
      <c r="B162" s="230"/>
      <c r="C162" s="230"/>
      <c r="D162" s="230"/>
      <c r="E162" s="230"/>
      <c r="F162" s="230"/>
      <c r="G162" s="230"/>
      <c r="H162" s="230"/>
      <c r="I162" s="230"/>
      <c r="J162" s="230"/>
      <c r="K162" s="230"/>
      <c r="L162" s="230"/>
      <c r="M162" s="230"/>
      <c r="N162" s="230"/>
      <c r="O162" s="230"/>
      <c r="P162" s="230"/>
      <c r="Q162" s="230"/>
      <c r="R162" s="230"/>
      <c r="S162" s="230"/>
      <c r="T162" s="230"/>
      <c r="U162" s="230"/>
      <c r="V162" s="230"/>
      <c r="W162" s="230"/>
      <c r="X162" s="230"/>
      <c r="Y162" s="230"/>
      <c r="Z162" s="230"/>
      <c r="AA162" s="230"/>
      <c r="AB162" s="230"/>
      <c r="AC162" s="230"/>
      <c r="AD162" s="230"/>
      <c r="AE162" s="230"/>
      <c r="AG162" s="230"/>
      <c r="AH162" s="230"/>
      <c r="AI162" s="230"/>
    </row>
    <row r="163" spans="2:35" s="237" customFormat="1" x14ac:dyDescent="0.25">
      <c r="B163" s="230"/>
      <c r="C163" s="230"/>
      <c r="D163" s="230"/>
      <c r="E163" s="230"/>
      <c r="F163" s="230"/>
      <c r="G163" s="230"/>
      <c r="H163" s="230"/>
      <c r="I163" s="230"/>
      <c r="J163" s="230"/>
      <c r="K163" s="230"/>
      <c r="L163" s="230"/>
      <c r="M163" s="230"/>
      <c r="N163" s="230"/>
      <c r="O163" s="230"/>
      <c r="P163" s="230"/>
      <c r="Q163" s="230"/>
      <c r="R163" s="230"/>
      <c r="S163" s="230"/>
      <c r="T163" s="230"/>
      <c r="U163" s="230"/>
      <c r="V163" s="230"/>
      <c r="W163" s="230"/>
      <c r="X163" s="230"/>
      <c r="Y163" s="230"/>
      <c r="Z163" s="230"/>
      <c r="AA163" s="230"/>
      <c r="AB163" s="230"/>
      <c r="AC163" s="230"/>
      <c r="AD163" s="230"/>
      <c r="AE163" s="230"/>
      <c r="AG163" s="230"/>
      <c r="AH163" s="230"/>
      <c r="AI163" s="230"/>
    </row>
    <row r="164" spans="2:35" s="237" customFormat="1" x14ac:dyDescent="0.25">
      <c r="B164" s="230"/>
      <c r="C164" s="230"/>
      <c r="D164" s="230"/>
      <c r="E164" s="230"/>
      <c r="F164" s="230"/>
      <c r="G164" s="230"/>
      <c r="H164" s="230"/>
      <c r="I164" s="230"/>
      <c r="J164" s="230"/>
      <c r="K164" s="230"/>
      <c r="L164" s="230"/>
      <c r="M164" s="230"/>
      <c r="N164" s="230"/>
      <c r="O164" s="230"/>
      <c r="P164" s="230"/>
      <c r="Q164" s="230"/>
      <c r="R164" s="230"/>
      <c r="S164" s="230"/>
      <c r="T164" s="230"/>
      <c r="U164" s="230"/>
      <c r="V164" s="230"/>
      <c r="W164" s="230"/>
      <c r="X164" s="230"/>
      <c r="Y164" s="230"/>
      <c r="Z164" s="230"/>
      <c r="AA164" s="230"/>
      <c r="AB164" s="230"/>
      <c r="AC164" s="230"/>
      <c r="AD164" s="230"/>
      <c r="AE164" s="230"/>
      <c r="AG164" s="230"/>
      <c r="AH164" s="230"/>
      <c r="AI164" s="230"/>
    </row>
    <row r="165" spans="2:35" s="237" customFormat="1" x14ac:dyDescent="0.25">
      <c r="B165" s="230"/>
      <c r="C165" s="230"/>
      <c r="D165" s="230"/>
      <c r="E165" s="230"/>
      <c r="F165" s="230"/>
      <c r="G165" s="230"/>
      <c r="H165" s="230"/>
      <c r="I165" s="230"/>
      <c r="J165" s="230"/>
      <c r="K165" s="230"/>
      <c r="L165" s="230"/>
      <c r="M165" s="230"/>
      <c r="N165" s="230"/>
      <c r="O165" s="230"/>
      <c r="P165" s="230"/>
      <c r="Q165" s="230"/>
      <c r="R165" s="230"/>
      <c r="S165" s="230"/>
      <c r="T165" s="230"/>
      <c r="U165" s="230"/>
      <c r="V165" s="230"/>
      <c r="W165" s="230"/>
      <c r="X165" s="230"/>
      <c r="Y165" s="230"/>
      <c r="Z165" s="230"/>
      <c r="AA165" s="230"/>
      <c r="AB165" s="230"/>
      <c r="AC165" s="230"/>
      <c r="AD165" s="230"/>
      <c r="AE165" s="230"/>
      <c r="AG165" s="230"/>
      <c r="AH165" s="230"/>
      <c r="AI165" s="230"/>
    </row>
    <row r="166" spans="2:35" s="237" customFormat="1" x14ac:dyDescent="0.25">
      <c r="B166" s="230"/>
      <c r="C166" s="230"/>
      <c r="D166" s="230"/>
      <c r="E166" s="230"/>
      <c r="F166" s="230"/>
      <c r="G166" s="230"/>
      <c r="H166" s="230"/>
      <c r="I166" s="230"/>
      <c r="J166" s="230"/>
      <c r="K166" s="230"/>
      <c r="L166" s="230"/>
      <c r="M166" s="230"/>
      <c r="N166" s="230"/>
      <c r="O166" s="230"/>
      <c r="P166" s="230"/>
      <c r="Q166" s="230"/>
      <c r="R166" s="230"/>
      <c r="S166" s="230"/>
      <c r="T166" s="230"/>
      <c r="U166" s="230"/>
      <c r="V166" s="230"/>
      <c r="W166" s="230"/>
      <c r="X166" s="230"/>
      <c r="Y166" s="230"/>
      <c r="Z166" s="230"/>
      <c r="AA166" s="230"/>
      <c r="AB166" s="230"/>
      <c r="AC166" s="230"/>
      <c r="AD166" s="230"/>
      <c r="AE166" s="230"/>
      <c r="AG166" s="230"/>
      <c r="AH166" s="230"/>
      <c r="AI166" s="230"/>
    </row>
    <row r="167" spans="2:35" s="237" customFormat="1" x14ac:dyDescent="0.3">
      <c r="B167" s="230"/>
      <c r="C167" s="230"/>
      <c r="D167" s="230"/>
      <c r="E167" s="230"/>
      <c r="F167" s="230"/>
      <c r="G167" s="301"/>
      <c r="H167" s="301"/>
      <c r="I167" s="230"/>
      <c r="J167" s="302"/>
      <c r="K167" s="230"/>
      <c r="L167" s="230"/>
      <c r="M167" s="230"/>
      <c r="N167" s="230"/>
      <c r="O167" s="230"/>
      <c r="P167" s="230"/>
      <c r="Q167" s="230"/>
      <c r="R167" s="230"/>
      <c r="S167" s="230"/>
      <c r="T167" s="230"/>
      <c r="U167" s="230"/>
      <c r="V167" s="230"/>
      <c r="W167" s="230"/>
      <c r="X167" s="230"/>
      <c r="Y167" s="230"/>
      <c r="Z167" s="230"/>
      <c r="AA167" s="230"/>
      <c r="AB167" s="230"/>
      <c r="AC167" s="230"/>
      <c r="AD167" s="230"/>
      <c r="AE167" s="230"/>
      <c r="AG167" s="230"/>
      <c r="AH167" s="230"/>
      <c r="AI167" s="230"/>
    </row>
    <row r="168" spans="2:35" s="237" customFormat="1" x14ac:dyDescent="0.3">
      <c r="B168" s="230"/>
      <c r="C168" s="230"/>
      <c r="D168" s="230"/>
      <c r="E168" s="230"/>
      <c r="F168" s="230"/>
      <c r="G168" s="301"/>
      <c r="H168" s="301"/>
      <c r="I168" s="230"/>
      <c r="J168" s="302"/>
      <c r="K168" s="230"/>
      <c r="L168" s="230"/>
      <c r="M168" s="230"/>
      <c r="N168" s="230"/>
      <c r="O168" s="230"/>
      <c r="P168" s="230"/>
      <c r="Q168" s="230"/>
      <c r="R168" s="230"/>
      <c r="S168" s="230"/>
      <c r="T168" s="230"/>
      <c r="U168" s="230"/>
      <c r="V168" s="230"/>
      <c r="W168" s="230"/>
      <c r="X168" s="230"/>
      <c r="Y168" s="230"/>
      <c r="Z168" s="230"/>
      <c r="AA168" s="230"/>
      <c r="AB168" s="230"/>
      <c r="AC168" s="230"/>
      <c r="AD168" s="230"/>
      <c r="AE168" s="230"/>
      <c r="AG168" s="230"/>
      <c r="AH168" s="230"/>
      <c r="AI168" s="230"/>
    </row>
    <row r="169" spans="2:35" s="237" customFormat="1" x14ac:dyDescent="0.3">
      <c r="B169" s="230"/>
      <c r="C169" s="230"/>
      <c r="D169" s="230"/>
      <c r="E169" s="230"/>
      <c r="F169" s="230"/>
      <c r="G169" s="301"/>
      <c r="H169" s="301"/>
      <c r="I169" s="230"/>
      <c r="J169" s="302"/>
      <c r="K169" s="230"/>
      <c r="L169" s="230"/>
      <c r="M169" s="230"/>
      <c r="N169" s="230"/>
      <c r="O169" s="230"/>
      <c r="P169" s="230"/>
      <c r="Q169" s="230"/>
      <c r="R169" s="230"/>
      <c r="S169" s="230"/>
      <c r="T169" s="230"/>
      <c r="U169" s="230"/>
      <c r="V169" s="230"/>
      <c r="W169" s="230"/>
      <c r="X169" s="230"/>
      <c r="Y169" s="230"/>
      <c r="Z169" s="230"/>
      <c r="AA169" s="230"/>
      <c r="AB169" s="230"/>
      <c r="AC169" s="230"/>
      <c r="AD169" s="230"/>
      <c r="AE169" s="230"/>
      <c r="AG169" s="230"/>
      <c r="AH169" s="230"/>
      <c r="AI169" s="230"/>
    </row>
    <row r="170" spans="2:35" s="237" customFormat="1" x14ac:dyDescent="0.3">
      <c r="B170" s="230"/>
      <c r="C170" s="230"/>
      <c r="D170" s="230"/>
      <c r="E170" s="230"/>
      <c r="F170" s="230"/>
      <c r="G170" s="301"/>
      <c r="H170" s="301"/>
      <c r="I170" s="230"/>
      <c r="J170" s="302"/>
      <c r="K170" s="303"/>
      <c r="L170" s="230"/>
      <c r="M170" s="230"/>
      <c r="N170" s="230"/>
      <c r="O170" s="230"/>
      <c r="P170" s="230"/>
      <c r="Q170" s="230"/>
      <c r="R170" s="230"/>
      <c r="S170" s="230"/>
      <c r="T170" s="230"/>
      <c r="U170" s="230"/>
      <c r="V170" s="230"/>
      <c r="W170" s="230"/>
      <c r="X170" s="230"/>
      <c r="Y170" s="230"/>
      <c r="Z170" s="230"/>
      <c r="AA170" s="230"/>
      <c r="AB170" s="230"/>
      <c r="AC170" s="230"/>
      <c r="AD170" s="230"/>
      <c r="AE170" s="230"/>
      <c r="AG170" s="230"/>
      <c r="AH170" s="230"/>
      <c r="AI170" s="230"/>
    </row>
    <row r="171" spans="2:35" s="237" customFormat="1" x14ac:dyDescent="0.3">
      <c r="B171" s="230"/>
      <c r="C171" s="230"/>
      <c r="D171" s="230"/>
      <c r="E171" s="230"/>
      <c r="F171" s="230"/>
      <c r="G171" s="230"/>
      <c r="H171" s="230"/>
      <c r="I171" s="230"/>
      <c r="J171" s="230"/>
      <c r="K171" s="303"/>
      <c r="L171" s="230"/>
      <c r="M171" s="230"/>
      <c r="N171" s="301"/>
      <c r="O171" s="230"/>
      <c r="P171" s="230"/>
      <c r="Q171" s="230"/>
      <c r="R171" s="230"/>
      <c r="S171" s="230"/>
      <c r="T171" s="230"/>
      <c r="U171" s="230"/>
      <c r="V171" s="230"/>
      <c r="W171" s="230"/>
      <c r="X171" s="230"/>
      <c r="Y171" s="230"/>
      <c r="Z171" s="230"/>
      <c r="AA171" s="230"/>
      <c r="AB171" s="230"/>
      <c r="AC171" s="230"/>
      <c r="AD171" s="230"/>
      <c r="AE171" s="230"/>
      <c r="AG171" s="230"/>
      <c r="AH171" s="230"/>
      <c r="AI171" s="230"/>
    </row>
    <row r="172" spans="2:35" s="237" customFormat="1" x14ac:dyDescent="0.3">
      <c r="B172" s="230"/>
      <c r="C172" s="230"/>
      <c r="D172" s="230"/>
      <c r="E172" s="230"/>
      <c r="F172" s="230"/>
      <c r="G172" s="230"/>
      <c r="H172" s="230"/>
      <c r="I172" s="230"/>
      <c r="J172" s="230"/>
      <c r="K172" s="303"/>
      <c r="L172" s="230"/>
      <c r="M172" s="230"/>
      <c r="N172" s="301"/>
      <c r="O172" s="230"/>
      <c r="P172" s="230"/>
      <c r="Q172" s="230"/>
      <c r="R172" s="230"/>
      <c r="S172" s="230"/>
      <c r="T172" s="230"/>
      <c r="U172" s="230"/>
      <c r="V172" s="230"/>
      <c r="W172" s="230"/>
      <c r="X172" s="230"/>
      <c r="Y172" s="230"/>
      <c r="Z172" s="230"/>
      <c r="AA172" s="230"/>
      <c r="AB172" s="230"/>
      <c r="AC172" s="230"/>
      <c r="AD172" s="230"/>
      <c r="AE172" s="230"/>
      <c r="AG172" s="230"/>
      <c r="AH172" s="230"/>
      <c r="AI172" s="230"/>
    </row>
    <row r="173" spans="2:35" s="237" customFormat="1" x14ac:dyDescent="0.3">
      <c r="B173" s="230"/>
      <c r="C173" s="230"/>
      <c r="D173" s="230"/>
      <c r="E173" s="230"/>
      <c r="F173" s="230"/>
      <c r="G173" s="230"/>
      <c r="H173" s="230"/>
      <c r="I173" s="230"/>
      <c r="J173" s="230"/>
      <c r="K173" s="230"/>
      <c r="L173" s="230"/>
      <c r="M173" s="230"/>
      <c r="N173" s="301"/>
      <c r="O173" s="230"/>
      <c r="P173" s="230"/>
      <c r="Q173" s="230"/>
      <c r="R173" s="230"/>
      <c r="S173" s="230"/>
      <c r="T173" s="230"/>
      <c r="U173" s="230"/>
      <c r="V173" s="230"/>
      <c r="W173" s="230"/>
      <c r="X173" s="230"/>
      <c r="Y173" s="230"/>
      <c r="Z173" s="230"/>
      <c r="AA173" s="230"/>
      <c r="AB173" s="230"/>
      <c r="AC173" s="230"/>
      <c r="AD173" s="230"/>
      <c r="AE173" s="230"/>
      <c r="AG173" s="230"/>
      <c r="AH173" s="230"/>
      <c r="AI173" s="230"/>
    </row>
    <row r="174" spans="2:35" s="237" customFormat="1" x14ac:dyDescent="0.25">
      <c r="B174" s="230"/>
      <c r="C174" s="230"/>
      <c r="D174" s="230"/>
      <c r="E174" s="230"/>
      <c r="F174" s="230"/>
      <c r="G174" s="230"/>
      <c r="H174" s="230"/>
      <c r="I174" s="230"/>
      <c r="J174" s="230"/>
      <c r="K174" s="230"/>
      <c r="L174" s="230"/>
      <c r="M174" s="230"/>
      <c r="N174" s="230"/>
      <c r="O174" s="230"/>
      <c r="P174" s="230"/>
      <c r="Q174" s="230"/>
      <c r="R174" s="230"/>
      <c r="S174" s="230"/>
      <c r="T174" s="230"/>
      <c r="U174" s="230"/>
      <c r="V174" s="230"/>
      <c r="W174" s="230"/>
      <c r="X174" s="230"/>
      <c r="Y174" s="230"/>
      <c r="Z174" s="230"/>
      <c r="AA174" s="230"/>
      <c r="AB174" s="230"/>
      <c r="AC174" s="230"/>
      <c r="AD174" s="230"/>
      <c r="AE174" s="230"/>
      <c r="AG174" s="230"/>
      <c r="AH174" s="230"/>
      <c r="AI174" s="230"/>
    </row>
    <row r="175" spans="2:35" s="237" customFormat="1" x14ac:dyDescent="0.25">
      <c r="B175" s="230"/>
      <c r="C175" s="230"/>
      <c r="D175" s="230"/>
      <c r="E175" s="230"/>
      <c r="F175" s="230"/>
      <c r="G175" s="230"/>
      <c r="H175" s="230"/>
      <c r="I175" s="230"/>
      <c r="J175" s="230"/>
      <c r="K175" s="230"/>
      <c r="L175" s="230"/>
      <c r="M175" s="230"/>
      <c r="N175" s="230"/>
      <c r="O175" s="230"/>
      <c r="P175" s="230"/>
      <c r="Q175" s="230"/>
      <c r="R175" s="230"/>
      <c r="S175" s="230"/>
      <c r="T175" s="230"/>
      <c r="U175" s="230"/>
      <c r="V175" s="230"/>
      <c r="W175" s="230"/>
      <c r="X175" s="230"/>
      <c r="Y175" s="230"/>
      <c r="Z175" s="230"/>
      <c r="AA175" s="230"/>
      <c r="AB175" s="230"/>
      <c r="AC175" s="230"/>
      <c r="AD175" s="230"/>
      <c r="AE175" s="230"/>
      <c r="AG175" s="230"/>
      <c r="AH175" s="230"/>
      <c r="AI175" s="230"/>
    </row>
    <row r="176" spans="2:35" s="237" customFormat="1" x14ac:dyDescent="0.2">
      <c r="B176" s="230">
        <v>2018</v>
      </c>
      <c r="C176" s="230"/>
      <c r="D176" s="230"/>
      <c r="E176" s="230"/>
      <c r="F176" s="230"/>
      <c r="G176" s="304" t="s">
        <v>44</v>
      </c>
      <c r="H176" s="304"/>
      <c r="I176" s="303" t="s">
        <v>45</v>
      </c>
      <c r="J176" s="303" t="s">
        <v>46</v>
      </c>
      <c r="K176" s="230"/>
      <c r="L176" s="230"/>
      <c r="M176" s="230"/>
      <c r="N176" s="303"/>
      <c r="O176" s="230"/>
      <c r="P176" s="230"/>
      <c r="Q176" s="230"/>
      <c r="R176" s="230"/>
      <c r="S176" s="230"/>
      <c r="T176" s="230"/>
      <c r="U176" s="230"/>
      <c r="V176" s="230"/>
      <c r="W176" s="230"/>
      <c r="X176" s="230"/>
      <c r="Y176" s="230"/>
      <c r="Z176" s="230"/>
      <c r="AA176" s="230"/>
      <c r="AB176" s="230"/>
      <c r="AC176" s="230"/>
      <c r="AD176" s="230"/>
      <c r="AE176" s="230"/>
      <c r="AG176" s="230"/>
      <c r="AH176" s="230"/>
      <c r="AI176" s="230"/>
    </row>
    <row r="177" spans="2:60" s="237" customFormat="1" x14ac:dyDescent="0.3">
      <c r="B177" s="230">
        <v>2019</v>
      </c>
      <c r="C177" s="230"/>
      <c r="D177" s="230"/>
      <c r="E177" s="230"/>
      <c r="F177" s="230"/>
      <c r="G177" s="301" t="s">
        <v>177</v>
      </c>
      <c r="H177" s="301"/>
      <c r="I177" s="230" t="s">
        <v>180</v>
      </c>
      <c r="J177" s="302" t="s">
        <v>47</v>
      </c>
      <c r="K177" s="303" t="s">
        <v>206</v>
      </c>
      <c r="L177" s="303" t="s">
        <v>48</v>
      </c>
      <c r="M177" s="303" t="s">
        <v>49</v>
      </c>
      <c r="N177" s="301" t="s">
        <v>212</v>
      </c>
      <c r="O177" s="303"/>
      <c r="P177" s="303"/>
      <c r="Q177" s="303"/>
      <c r="R177" s="303"/>
      <c r="S177" s="303"/>
      <c r="T177" s="303"/>
      <c r="U177" s="303"/>
      <c r="V177" s="303"/>
      <c r="W177" s="303"/>
      <c r="X177" s="303"/>
      <c r="Y177" s="303"/>
      <c r="Z177" s="303"/>
      <c r="AA177" s="303"/>
      <c r="AB177" s="303"/>
      <c r="AC177" s="303"/>
      <c r="AD177" s="303"/>
      <c r="AE177" s="230"/>
      <c r="AG177" s="230"/>
      <c r="AH177" s="230"/>
      <c r="AI177" s="230"/>
    </row>
    <row r="178" spans="2:60" s="237" customFormat="1" x14ac:dyDescent="0.3">
      <c r="B178" s="230">
        <v>2020</v>
      </c>
      <c r="C178" s="230"/>
      <c r="D178" s="230"/>
      <c r="E178" s="230"/>
      <c r="F178" s="230"/>
      <c r="G178" s="301" t="s">
        <v>178</v>
      </c>
      <c r="H178" s="301"/>
      <c r="I178" s="230" t="s">
        <v>181</v>
      </c>
      <c r="J178" s="302" t="s">
        <v>50</v>
      </c>
      <c r="K178" s="303" t="s">
        <v>207</v>
      </c>
      <c r="L178" s="303" t="s">
        <v>48</v>
      </c>
      <c r="M178" s="303" t="s">
        <v>49</v>
      </c>
      <c r="N178" s="303" t="s">
        <v>213</v>
      </c>
      <c r="O178" s="303"/>
      <c r="P178" s="303"/>
      <c r="Q178" s="303"/>
      <c r="R178" s="303"/>
      <c r="S178" s="303"/>
      <c r="T178" s="303"/>
      <c r="U178" s="303"/>
      <c r="V178" s="303"/>
      <c r="W178" s="303"/>
      <c r="X178" s="303"/>
      <c r="Y178" s="303"/>
      <c r="Z178" s="303"/>
      <c r="AA178" s="303"/>
      <c r="AB178" s="303"/>
      <c r="AC178" s="303"/>
      <c r="AD178" s="303"/>
      <c r="AE178" s="303"/>
      <c r="AF178" s="305"/>
      <c r="AG178" s="303"/>
      <c r="AH178" s="303"/>
      <c r="AI178" s="303"/>
      <c r="AJ178" s="305"/>
      <c r="AK178" s="305"/>
      <c r="AL178" s="305"/>
      <c r="AM178" s="305"/>
      <c r="AN178" s="305"/>
      <c r="AO178" s="305"/>
      <c r="AP178" s="305"/>
      <c r="AQ178" s="305"/>
      <c r="AR178" s="305"/>
      <c r="AS178" s="305"/>
      <c r="AT178" s="305"/>
      <c r="AU178" s="305"/>
      <c r="AV178" s="305"/>
      <c r="AW178" s="305"/>
      <c r="AX178" s="305"/>
      <c r="AY178" s="305"/>
      <c r="AZ178" s="305"/>
      <c r="BA178" s="305"/>
      <c r="BB178" s="305"/>
      <c r="BC178" s="305"/>
      <c r="BD178" s="305"/>
      <c r="BE178" s="305"/>
      <c r="BF178" s="305"/>
      <c r="BG178" s="305"/>
      <c r="BH178" s="305"/>
    </row>
    <row r="179" spans="2:60" s="237" customFormat="1" x14ac:dyDescent="0.3">
      <c r="B179" s="230">
        <v>2021</v>
      </c>
      <c r="C179" s="230"/>
      <c r="D179" s="230"/>
      <c r="E179" s="230"/>
      <c r="F179" s="230"/>
      <c r="G179" s="301" t="s">
        <v>179</v>
      </c>
      <c r="H179" s="301"/>
      <c r="I179" s="230" t="s">
        <v>182</v>
      </c>
      <c r="J179" s="302" t="s">
        <v>51</v>
      </c>
      <c r="K179" s="303" t="s">
        <v>207</v>
      </c>
      <c r="L179" s="303" t="s">
        <v>48</v>
      </c>
      <c r="M179" s="303" t="s">
        <v>49</v>
      </c>
      <c r="N179" s="303" t="s">
        <v>214</v>
      </c>
      <c r="O179" s="303"/>
      <c r="P179" s="303"/>
      <c r="Q179" s="303"/>
      <c r="R179" s="303"/>
      <c r="S179" s="303"/>
      <c r="T179" s="303"/>
      <c r="U179" s="303"/>
      <c r="V179" s="303"/>
      <c r="W179" s="303"/>
      <c r="X179" s="303"/>
      <c r="Y179" s="303"/>
      <c r="Z179" s="303"/>
      <c r="AA179" s="303"/>
      <c r="AB179" s="303"/>
      <c r="AC179" s="303"/>
      <c r="AD179" s="303"/>
      <c r="AE179" s="303"/>
      <c r="AF179" s="305"/>
      <c r="AG179" s="303"/>
      <c r="AH179" s="303"/>
      <c r="AI179" s="303"/>
      <c r="AJ179" s="305"/>
      <c r="AK179" s="305"/>
      <c r="AL179" s="305"/>
      <c r="AM179" s="305"/>
      <c r="AN179" s="305"/>
      <c r="AO179" s="305"/>
      <c r="AP179" s="305"/>
      <c r="AQ179" s="305"/>
      <c r="AR179" s="305"/>
      <c r="AS179" s="305"/>
      <c r="AT179" s="305"/>
      <c r="AU179" s="305"/>
      <c r="AV179" s="305"/>
      <c r="AW179" s="305"/>
      <c r="AX179" s="305"/>
      <c r="AY179" s="305"/>
      <c r="AZ179" s="305"/>
      <c r="BA179" s="305"/>
      <c r="BB179" s="305"/>
      <c r="BC179" s="305"/>
      <c r="BD179" s="305"/>
      <c r="BE179" s="305"/>
      <c r="BF179" s="305"/>
      <c r="BG179" s="305"/>
      <c r="BH179" s="305"/>
    </row>
    <row r="180" spans="2:60" s="237" customFormat="1" x14ac:dyDescent="0.3">
      <c r="B180" s="230">
        <v>2022</v>
      </c>
      <c r="C180" s="230"/>
      <c r="D180" s="230"/>
      <c r="E180" s="230"/>
      <c r="F180" s="230"/>
      <c r="G180" s="301" t="s">
        <v>183</v>
      </c>
      <c r="H180" s="301"/>
      <c r="I180" s="230" t="s">
        <v>192</v>
      </c>
      <c r="J180" s="302" t="s">
        <v>52</v>
      </c>
      <c r="K180" s="303" t="s">
        <v>208</v>
      </c>
      <c r="L180" s="303" t="s">
        <v>48</v>
      </c>
      <c r="M180" s="303" t="s">
        <v>54</v>
      </c>
      <c r="N180" s="301" t="s">
        <v>215</v>
      </c>
      <c r="O180" s="303"/>
      <c r="P180" s="303"/>
      <c r="Q180" s="303"/>
      <c r="R180" s="303"/>
      <c r="S180" s="303"/>
      <c r="T180" s="303"/>
      <c r="U180" s="303"/>
      <c r="V180" s="303"/>
      <c r="W180" s="303"/>
      <c r="X180" s="303"/>
      <c r="Y180" s="303"/>
      <c r="Z180" s="303"/>
      <c r="AA180" s="303"/>
      <c r="AB180" s="303"/>
      <c r="AC180" s="303"/>
      <c r="AD180" s="303"/>
      <c r="AE180" s="303"/>
      <c r="AF180" s="305"/>
      <c r="AG180" s="303"/>
      <c r="AH180" s="303"/>
      <c r="AI180" s="303"/>
      <c r="AJ180" s="305"/>
      <c r="AK180" s="305"/>
      <c r="AL180" s="305"/>
      <c r="AM180" s="305"/>
      <c r="AN180" s="305"/>
      <c r="AO180" s="305"/>
      <c r="AP180" s="305"/>
      <c r="AQ180" s="305"/>
      <c r="AR180" s="305"/>
      <c r="AS180" s="305"/>
      <c r="AT180" s="305"/>
      <c r="AU180" s="305"/>
      <c r="AV180" s="305"/>
      <c r="AW180" s="305"/>
      <c r="AX180" s="305"/>
      <c r="AY180" s="305"/>
      <c r="AZ180" s="305"/>
      <c r="BA180" s="305"/>
      <c r="BB180" s="305"/>
      <c r="BC180" s="305"/>
      <c r="BD180" s="305"/>
      <c r="BE180" s="305"/>
      <c r="BF180" s="305"/>
      <c r="BG180" s="305"/>
      <c r="BH180" s="305"/>
    </row>
    <row r="181" spans="2:60" s="237" customFormat="1" x14ac:dyDescent="0.3">
      <c r="B181" s="230">
        <v>2023</v>
      </c>
      <c r="C181" s="230"/>
      <c r="D181" s="230"/>
      <c r="E181" s="230"/>
      <c r="F181" s="230"/>
      <c r="G181" s="301" t="s">
        <v>184</v>
      </c>
      <c r="H181" s="301"/>
      <c r="I181" s="230" t="s">
        <v>193</v>
      </c>
      <c r="J181" s="302" t="s">
        <v>55</v>
      </c>
      <c r="K181" s="303" t="s">
        <v>209</v>
      </c>
      <c r="L181" s="303" t="s">
        <v>48</v>
      </c>
      <c r="M181" s="303" t="s">
        <v>54</v>
      </c>
      <c r="N181" s="301" t="s">
        <v>216</v>
      </c>
      <c r="O181" s="303"/>
      <c r="P181" s="303"/>
      <c r="Q181" s="303"/>
      <c r="R181" s="303"/>
      <c r="S181" s="303"/>
      <c r="T181" s="303"/>
      <c r="U181" s="303"/>
      <c r="V181" s="303"/>
      <c r="W181" s="303"/>
      <c r="X181" s="303"/>
      <c r="Y181" s="303"/>
      <c r="Z181" s="303"/>
      <c r="AA181" s="303"/>
      <c r="AB181" s="303"/>
      <c r="AC181" s="303"/>
      <c r="AD181" s="303"/>
      <c r="AE181" s="303"/>
      <c r="AF181" s="305"/>
      <c r="AG181" s="303"/>
      <c r="AH181" s="303"/>
      <c r="AI181" s="303"/>
      <c r="AJ181" s="305"/>
      <c r="AK181" s="305"/>
      <c r="AL181" s="305"/>
      <c r="AM181" s="305"/>
      <c r="AN181" s="305"/>
      <c r="AO181" s="305"/>
      <c r="AP181" s="305"/>
      <c r="AQ181" s="305"/>
      <c r="AR181" s="305"/>
      <c r="AS181" s="305"/>
      <c r="AT181" s="305"/>
      <c r="AU181" s="305"/>
      <c r="AV181" s="305"/>
      <c r="AW181" s="305"/>
      <c r="AX181" s="305"/>
      <c r="AY181" s="305"/>
      <c r="AZ181" s="305"/>
      <c r="BA181" s="305"/>
      <c r="BB181" s="305"/>
      <c r="BC181" s="305"/>
      <c r="BD181" s="305"/>
      <c r="BE181" s="305"/>
      <c r="BF181" s="305"/>
      <c r="BG181" s="305"/>
      <c r="BH181" s="305"/>
    </row>
    <row r="182" spans="2:60" x14ac:dyDescent="0.3">
      <c r="B182" s="230">
        <v>2024</v>
      </c>
      <c r="G182" s="301" t="s">
        <v>185</v>
      </c>
      <c r="H182" s="301"/>
      <c r="I182" s="230" t="s">
        <v>194</v>
      </c>
      <c r="J182" s="302" t="s">
        <v>56</v>
      </c>
      <c r="K182" s="303" t="s">
        <v>209</v>
      </c>
      <c r="L182" s="303" t="s">
        <v>48</v>
      </c>
      <c r="M182" s="303" t="s">
        <v>54</v>
      </c>
      <c r="N182" s="301" t="s">
        <v>226</v>
      </c>
      <c r="O182" s="303"/>
      <c r="P182" s="303"/>
      <c r="Q182" s="303"/>
      <c r="R182" s="303"/>
      <c r="S182" s="303"/>
      <c r="T182" s="303"/>
      <c r="U182" s="303"/>
      <c r="V182" s="303"/>
      <c r="W182" s="303"/>
      <c r="X182" s="303"/>
      <c r="Y182" s="303"/>
      <c r="Z182" s="303"/>
      <c r="AA182" s="303"/>
      <c r="AB182" s="303"/>
      <c r="AC182" s="303"/>
      <c r="AD182" s="303"/>
      <c r="AE182" s="303"/>
      <c r="AF182" s="303"/>
      <c r="AG182" s="303"/>
      <c r="AH182" s="303"/>
      <c r="AI182" s="303"/>
      <c r="AJ182" s="303"/>
      <c r="AK182" s="303"/>
      <c r="AL182" s="303"/>
      <c r="AM182" s="303"/>
      <c r="AN182" s="303"/>
      <c r="AO182" s="303"/>
      <c r="AP182" s="303"/>
      <c r="AQ182" s="303"/>
      <c r="AR182" s="303"/>
      <c r="AS182" s="303"/>
      <c r="AT182" s="303"/>
      <c r="AU182" s="303"/>
      <c r="AV182" s="303"/>
      <c r="AW182" s="303"/>
      <c r="AX182" s="303"/>
      <c r="AY182" s="303"/>
      <c r="AZ182" s="303"/>
      <c r="BA182" s="303"/>
      <c r="BB182" s="303"/>
      <c r="BC182" s="303"/>
      <c r="BD182" s="303"/>
      <c r="BE182" s="303"/>
      <c r="BF182" s="303"/>
      <c r="BG182" s="303"/>
      <c r="BH182" s="303"/>
    </row>
    <row r="183" spans="2:60" x14ac:dyDescent="0.3">
      <c r="B183" s="230">
        <v>2025</v>
      </c>
      <c r="G183" s="301" t="s">
        <v>186</v>
      </c>
      <c r="H183" s="301"/>
      <c r="I183" s="230" t="s">
        <v>195</v>
      </c>
      <c r="J183" s="302" t="s">
        <v>57</v>
      </c>
      <c r="K183" s="303" t="s">
        <v>209</v>
      </c>
      <c r="L183" s="303" t="s">
        <v>48</v>
      </c>
      <c r="M183" s="303" t="s">
        <v>54</v>
      </c>
      <c r="N183" s="301" t="s">
        <v>217</v>
      </c>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303"/>
      <c r="AL183" s="303"/>
      <c r="AM183" s="303"/>
      <c r="AN183" s="303"/>
      <c r="AO183" s="303"/>
      <c r="AP183" s="303"/>
      <c r="AQ183" s="303"/>
      <c r="AR183" s="303"/>
      <c r="AS183" s="303"/>
      <c r="AT183" s="303"/>
      <c r="AU183" s="303"/>
      <c r="AV183" s="303"/>
      <c r="AW183" s="303"/>
      <c r="AX183" s="303"/>
      <c r="AY183" s="303"/>
      <c r="AZ183" s="303"/>
      <c r="BA183" s="303"/>
      <c r="BB183" s="303"/>
      <c r="BC183" s="303"/>
      <c r="BD183" s="303"/>
      <c r="BE183" s="303"/>
      <c r="BF183" s="303"/>
      <c r="BG183" s="303"/>
      <c r="BH183" s="303"/>
    </row>
    <row r="184" spans="2:60" x14ac:dyDescent="0.3">
      <c r="B184" s="230">
        <v>2026</v>
      </c>
      <c r="G184" s="301" t="s">
        <v>187</v>
      </c>
      <c r="H184" s="301"/>
      <c r="I184" s="230" t="s">
        <v>196</v>
      </c>
      <c r="J184" s="302" t="s">
        <v>58</v>
      </c>
      <c r="K184" s="303" t="s">
        <v>208</v>
      </c>
      <c r="L184" s="303" t="s">
        <v>48</v>
      </c>
      <c r="M184" s="303" t="s">
        <v>54</v>
      </c>
      <c r="N184" s="301" t="s">
        <v>218</v>
      </c>
      <c r="O184" s="303"/>
      <c r="P184" s="303"/>
      <c r="Q184" s="303"/>
      <c r="R184" s="303"/>
      <c r="S184" s="303"/>
      <c r="T184" s="303"/>
      <c r="U184" s="303"/>
      <c r="V184" s="303"/>
      <c r="W184" s="303"/>
      <c r="X184" s="303"/>
      <c r="Y184" s="303"/>
      <c r="Z184" s="303"/>
      <c r="AA184" s="303"/>
      <c r="AB184" s="303"/>
      <c r="AC184" s="303"/>
      <c r="AD184" s="303"/>
      <c r="AE184" s="303"/>
      <c r="AF184" s="303"/>
      <c r="AG184" s="303"/>
      <c r="AH184" s="303"/>
      <c r="AI184" s="303"/>
      <c r="AJ184" s="303"/>
      <c r="AK184" s="303"/>
      <c r="AL184" s="303"/>
      <c r="AM184" s="303"/>
      <c r="AN184" s="303"/>
      <c r="AO184" s="303"/>
      <c r="AP184" s="303"/>
      <c r="AQ184" s="303"/>
      <c r="AR184" s="303"/>
      <c r="AS184" s="303"/>
      <c r="AT184" s="303"/>
      <c r="AU184" s="303"/>
      <c r="AV184" s="303"/>
      <c r="AW184" s="303"/>
      <c r="AX184" s="303"/>
      <c r="AY184" s="303"/>
      <c r="AZ184" s="303"/>
      <c r="BA184" s="303"/>
      <c r="BB184" s="303"/>
      <c r="BC184" s="303"/>
      <c r="BD184" s="303"/>
      <c r="BE184" s="303"/>
      <c r="BF184" s="303"/>
      <c r="BG184" s="303"/>
      <c r="BH184" s="303"/>
    </row>
    <row r="185" spans="2:60" x14ac:dyDescent="0.3">
      <c r="B185" s="230">
        <v>2027</v>
      </c>
      <c r="G185" s="301" t="s">
        <v>188</v>
      </c>
      <c r="H185" s="301"/>
      <c r="I185" s="230" t="s">
        <v>197</v>
      </c>
      <c r="J185" s="302" t="s">
        <v>60</v>
      </c>
      <c r="K185" s="303" t="s">
        <v>207</v>
      </c>
      <c r="L185" s="303" t="s">
        <v>48</v>
      </c>
      <c r="M185" s="301" t="s">
        <v>204</v>
      </c>
      <c r="N185" s="301" t="s">
        <v>219</v>
      </c>
      <c r="O185" s="303"/>
      <c r="P185" s="303"/>
      <c r="Q185" s="303"/>
      <c r="R185" s="303"/>
      <c r="S185" s="303"/>
      <c r="T185" s="303"/>
      <c r="U185" s="303"/>
      <c r="V185" s="303"/>
      <c r="W185" s="303"/>
      <c r="X185" s="303"/>
      <c r="Y185" s="303"/>
      <c r="Z185" s="303"/>
      <c r="AA185" s="303"/>
      <c r="AB185" s="303"/>
      <c r="AC185" s="303"/>
      <c r="AD185" s="303"/>
      <c r="AE185" s="303"/>
      <c r="AF185" s="303"/>
      <c r="AG185" s="303"/>
      <c r="AH185" s="303"/>
      <c r="AI185" s="303"/>
      <c r="AJ185" s="303"/>
      <c r="AK185" s="303"/>
      <c r="AL185" s="303"/>
      <c r="AM185" s="303"/>
      <c r="AN185" s="303"/>
      <c r="AO185" s="303"/>
      <c r="AP185" s="303"/>
      <c r="AQ185" s="303"/>
      <c r="AR185" s="303"/>
      <c r="AS185" s="303"/>
      <c r="AT185" s="303"/>
      <c r="AU185" s="303"/>
      <c r="AV185" s="303"/>
      <c r="AW185" s="303"/>
      <c r="AX185" s="303"/>
      <c r="AY185" s="303"/>
      <c r="AZ185" s="303"/>
      <c r="BA185" s="303"/>
      <c r="BB185" s="303"/>
      <c r="BC185" s="303"/>
      <c r="BD185" s="303"/>
      <c r="BE185" s="303"/>
      <c r="BF185" s="303"/>
      <c r="BG185" s="303"/>
      <c r="BH185" s="303"/>
    </row>
    <row r="186" spans="2:60" x14ac:dyDescent="0.3">
      <c r="B186" s="230">
        <v>2028</v>
      </c>
      <c r="G186" s="301" t="s">
        <v>59</v>
      </c>
      <c r="H186" s="301"/>
      <c r="I186" s="230" t="s">
        <v>198</v>
      </c>
      <c r="J186" s="302" t="s">
        <v>61</v>
      </c>
      <c r="K186" s="303" t="s">
        <v>62</v>
      </c>
      <c r="L186" s="303" t="s">
        <v>48</v>
      </c>
      <c r="M186" s="301" t="s">
        <v>204</v>
      </c>
      <c r="N186" s="301" t="s">
        <v>220</v>
      </c>
      <c r="O186" s="303"/>
      <c r="P186" s="303"/>
      <c r="Q186" s="303"/>
      <c r="R186" s="303"/>
      <c r="S186" s="303"/>
      <c r="T186" s="303"/>
      <c r="U186" s="303"/>
      <c r="V186" s="303"/>
      <c r="W186" s="303"/>
      <c r="X186" s="303"/>
      <c r="Y186" s="303"/>
      <c r="Z186" s="303"/>
      <c r="AA186" s="303"/>
      <c r="AB186" s="303"/>
      <c r="AC186" s="303"/>
      <c r="AD186" s="303"/>
      <c r="AE186" s="303"/>
      <c r="AF186" s="303"/>
      <c r="AG186" s="303"/>
      <c r="AH186" s="303"/>
      <c r="AI186" s="303"/>
      <c r="AJ186" s="303"/>
      <c r="AK186" s="303"/>
      <c r="AL186" s="303"/>
      <c r="AM186" s="303"/>
      <c r="AN186" s="303"/>
      <c r="AO186" s="303"/>
      <c r="AP186" s="303"/>
      <c r="AQ186" s="303"/>
      <c r="AR186" s="303"/>
      <c r="AS186" s="303"/>
      <c r="AT186" s="303"/>
      <c r="AU186" s="303"/>
      <c r="AV186" s="303"/>
      <c r="AW186" s="303"/>
      <c r="AX186" s="303"/>
      <c r="AY186" s="303"/>
      <c r="AZ186" s="303"/>
      <c r="BA186" s="303"/>
      <c r="BB186" s="303"/>
      <c r="BC186" s="303"/>
      <c r="BD186" s="303"/>
      <c r="BE186" s="303"/>
      <c r="BF186" s="303"/>
      <c r="BG186" s="303"/>
      <c r="BH186" s="303"/>
    </row>
    <row r="187" spans="2:60" x14ac:dyDescent="0.3">
      <c r="G187" s="301" t="s">
        <v>189</v>
      </c>
      <c r="H187" s="301"/>
      <c r="I187" s="230" t="s">
        <v>199</v>
      </c>
      <c r="J187" s="302" t="s">
        <v>63</v>
      </c>
      <c r="K187" s="303" t="s">
        <v>207</v>
      </c>
      <c r="L187" s="303" t="s">
        <v>48</v>
      </c>
      <c r="M187" s="301" t="s">
        <v>204</v>
      </c>
      <c r="N187" s="301" t="s">
        <v>221</v>
      </c>
      <c r="O187" s="303"/>
      <c r="P187" s="303"/>
      <c r="Q187" s="303"/>
      <c r="R187" s="303"/>
      <c r="S187" s="303"/>
      <c r="T187" s="303"/>
      <c r="U187" s="303"/>
      <c r="V187" s="303"/>
      <c r="W187" s="303"/>
      <c r="X187" s="303"/>
      <c r="Y187" s="303"/>
      <c r="Z187" s="303"/>
      <c r="AA187" s="303"/>
      <c r="AB187" s="303"/>
      <c r="AC187" s="303"/>
      <c r="AD187" s="303"/>
      <c r="AE187" s="303"/>
      <c r="AF187" s="303"/>
      <c r="AG187" s="303"/>
      <c r="AH187" s="303"/>
      <c r="AI187" s="303"/>
      <c r="AJ187" s="303"/>
      <c r="AK187" s="303"/>
      <c r="AL187" s="303"/>
      <c r="AM187" s="303"/>
      <c r="AN187" s="303"/>
      <c r="AO187" s="303"/>
      <c r="AP187" s="303"/>
      <c r="AQ187" s="303"/>
      <c r="AR187" s="303"/>
      <c r="AS187" s="303"/>
      <c r="AT187" s="303"/>
      <c r="AU187" s="303"/>
      <c r="AV187" s="303"/>
      <c r="AW187" s="303"/>
      <c r="AX187" s="303"/>
      <c r="AY187" s="303"/>
      <c r="AZ187" s="303"/>
      <c r="BA187" s="303"/>
      <c r="BB187" s="303"/>
      <c r="BC187" s="303"/>
      <c r="BD187" s="303"/>
      <c r="BE187" s="303"/>
      <c r="BF187" s="303"/>
      <c r="BG187" s="303"/>
      <c r="BH187" s="303"/>
    </row>
    <row r="188" spans="2:60" x14ac:dyDescent="0.3">
      <c r="G188" s="301" t="s">
        <v>190</v>
      </c>
      <c r="H188" s="301"/>
      <c r="I188" s="230" t="s">
        <v>200</v>
      </c>
      <c r="J188" s="302" t="s">
        <v>64</v>
      </c>
      <c r="K188" s="303" t="s">
        <v>207</v>
      </c>
      <c r="L188" s="303" t="s">
        <v>48</v>
      </c>
      <c r="M188" s="301" t="s">
        <v>204</v>
      </c>
      <c r="N188" s="301" t="s">
        <v>222</v>
      </c>
      <c r="O188" s="303"/>
      <c r="P188" s="303"/>
      <c r="Q188" s="303"/>
      <c r="R188" s="303"/>
      <c r="S188" s="303"/>
      <c r="T188" s="303"/>
      <c r="U188" s="303"/>
      <c r="V188" s="303"/>
      <c r="W188" s="303"/>
      <c r="X188" s="303"/>
      <c r="Y188" s="303"/>
      <c r="Z188" s="303"/>
      <c r="AA188" s="303"/>
      <c r="AB188" s="303"/>
      <c r="AC188" s="303"/>
      <c r="AD188" s="303"/>
      <c r="AE188" s="303"/>
      <c r="AF188" s="303"/>
      <c r="AG188" s="303"/>
      <c r="AH188" s="303"/>
      <c r="AI188" s="303"/>
      <c r="AJ188" s="303"/>
      <c r="AK188" s="303"/>
      <c r="AL188" s="303"/>
      <c r="AM188" s="303"/>
      <c r="AN188" s="303"/>
      <c r="AO188" s="303"/>
      <c r="AP188" s="303"/>
      <c r="AQ188" s="303"/>
      <c r="AR188" s="303"/>
      <c r="AS188" s="303"/>
      <c r="AT188" s="303"/>
      <c r="AU188" s="303"/>
      <c r="AV188" s="303"/>
      <c r="AW188" s="303"/>
      <c r="AX188" s="303"/>
      <c r="AY188" s="303"/>
      <c r="AZ188" s="303"/>
      <c r="BA188" s="303"/>
      <c r="BB188" s="303"/>
      <c r="BC188" s="303"/>
      <c r="BD188" s="303"/>
      <c r="BE188" s="303"/>
      <c r="BF188" s="303"/>
      <c r="BG188" s="303"/>
      <c r="BH188" s="303"/>
    </row>
    <row r="189" spans="2:60" x14ac:dyDescent="0.3">
      <c r="G189" s="301" t="s">
        <v>191</v>
      </c>
      <c r="H189" s="301"/>
      <c r="I189" s="230" t="s">
        <v>201</v>
      </c>
      <c r="J189" s="302" t="s">
        <v>65</v>
      </c>
      <c r="K189" s="303" t="s">
        <v>207</v>
      </c>
      <c r="L189" s="303" t="s">
        <v>48</v>
      </c>
      <c r="M189" s="301" t="s">
        <v>204</v>
      </c>
      <c r="N189" s="301" t="s">
        <v>223</v>
      </c>
      <c r="O189" s="303"/>
      <c r="P189" s="303"/>
      <c r="Q189" s="303"/>
      <c r="R189" s="303"/>
      <c r="S189" s="303"/>
      <c r="T189" s="303"/>
      <c r="U189" s="303"/>
      <c r="V189" s="303"/>
      <c r="W189" s="303"/>
      <c r="X189" s="303"/>
      <c r="Y189" s="303"/>
      <c r="Z189" s="303"/>
      <c r="AA189" s="303"/>
      <c r="AB189" s="303"/>
      <c r="AC189" s="303"/>
      <c r="AD189" s="303"/>
      <c r="AE189" s="303"/>
      <c r="AF189" s="303"/>
      <c r="AG189" s="303"/>
      <c r="AH189" s="303"/>
      <c r="AI189" s="303"/>
      <c r="AJ189" s="303"/>
      <c r="AK189" s="303"/>
      <c r="AL189" s="303"/>
      <c r="AM189" s="303"/>
      <c r="AN189" s="303"/>
      <c r="AO189" s="303"/>
      <c r="AP189" s="303"/>
      <c r="AQ189" s="303"/>
      <c r="AR189" s="303"/>
      <c r="AS189" s="303"/>
      <c r="AT189" s="303"/>
      <c r="AU189" s="303"/>
      <c r="AV189" s="303"/>
      <c r="AW189" s="303"/>
      <c r="AX189" s="303"/>
      <c r="AY189" s="303"/>
      <c r="AZ189" s="303"/>
      <c r="BA189" s="303"/>
      <c r="BB189" s="303"/>
      <c r="BC189" s="303"/>
      <c r="BD189" s="303"/>
      <c r="BE189" s="303"/>
      <c r="BF189" s="303"/>
      <c r="BG189" s="303"/>
      <c r="BH189" s="303"/>
    </row>
    <row r="190" spans="2:60" x14ac:dyDescent="0.3">
      <c r="G190" s="301" t="s">
        <v>202</v>
      </c>
      <c r="H190" s="301"/>
      <c r="I190" s="230" t="s">
        <v>203</v>
      </c>
      <c r="J190" s="302" t="s">
        <v>66</v>
      </c>
      <c r="K190" s="303" t="s">
        <v>225</v>
      </c>
      <c r="L190" s="303" t="s">
        <v>48</v>
      </c>
      <c r="M190" s="303" t="s">
        <v>205</v>
      </c>
      <c r="N190" s="301" t="s">
        <v>224</v>
      </c>
      <c r="O190" s="303"/>
      <c r="P190" s="303"/>
      <c r="Q190" s="303"/>
      <c r="R190" s="303"/>
      <c r="S190" s="303"/>
      <c r="T190" s="303"/>
      <c r="U190" s="303"/>
      <c r="V190" s="303"/>
      <c r="W190" s="303"/>
      <c r="X190" s="303"/>
      <c r="Y190" s="303"/>
      <c r="Z190" s="303"/>
      <c r="AA190" s="303"/>
      <c r="AB190" s="303"/>
      <c r="AC190" s="303"/>
      <c r="AD190" s="303"/>
      <c r="AE190" s="303"/>
      <c r="AF190" s="303"/>
      <c r="AG190" s="303"/>
      <c r="AH190" s="303"/>
      <c r="AI190" s="303"/>
      <c r="AJ190" s="303"/>
      <c r="AK190" s="303"/>
      <c r="AL190" s="303"/>
      <c r="AM190" s="303"/>
      <c r="AN190" s="303"/>
      <c r="AO190" s="303"/>
      <c r="AP190" s="303"/>
      <c r="AQ190" s="303"/>
      <c r="AR190" s="303"/>
      <c r="AS190" s="303"/>
      <c r="AT190" s="303"/>
      <c r="AU190" s="303"/>
      <c r="AV190" s="303"/>
      <c r="AW190" s="303"/>
      <c r="AX190" s="303"/>
      <c r="AY190" s="303"/>
      <c r="AZ190" s="303"/>
      <c r="BA190" s="303"/>
      <c r="BB190" s="303"/>
      <c r="BC190" s="303"/>
      <c r="BD190" s="303"/>
      <c r="BE190" s="303"/>
      <c r="BF190" s="303"/>
      <c r="BG190" s="303"/>
      <c r="BH190" s="303"/>
    </row>
    <row r="191" spans="2:60" x14ac:dyDescent="0.3">
      <c r="G191" s="306"/>
      <c r="H191" s="306"/>
      <c r="N191" s="301"/>
      <c r="O191" s="303"/>
      <c r="P191" s="303"/>
      <c r="Q191" s="303"/>
      <c r="R191" s="303"/>
      <c r="S191" s="303"/>
      <c r="T191" s="303"/>
      <c r="U191" s="303"/>
      <c r="V191" s="303"/>
      <c r="W191" s="303"/>
      <c r="X191" s="303"/>
      <c r="Y191" s="303"/>
      <c r="Z191" s="303"/>
      <c r="AA191" s="303"/>
      <c r="AB191" s="303"/>
      <c r="AC191" s="303"/>
      <c r="AD191" s="303"/>
      <c r="AE191" s="303"/>
      <c r="AF191" s="303"/>
      <c r="AG191" s="303"/>
      <c r="AH191" s="303"/>
      <c r="AI191" s="303"/>
      <c r="AJ191" s="303"/>
      <c r="AK191" s="303"/>
      <c r="AL191" s="303"/>
      <c r="AM191" s="303"/>
      <c r="AN191" s="303"/>
      <c r="AO191" s="303"/>
      <c r="AP191" s="303"/>
      <c r="AQ191" s="303"/>
      <c r="AR191" s="303"/>
      <c r="AS191" s="303"/>
      <c r="AT191" s="303"/>
      <c r="AU191" s="303"/>
      <c r="AV191" s="303"/>
      <c r="AW191" s="303"/>
      <c r="AX191" s="303"/>
      <c r="AY191" s="303"/>
      <c r="AZ191" s="303"/>
      <c r="BA191" s="303"/>
      <c r="BB191" s="303"/>
      <c r="BC191" s="303"/>
      <c r="BD191" s="303"/>
      <c r="BE191" s="303"/>
      <c r="BF191" s="303"/>
      <c r="BG191" s="303"/>
      <c r="BH191" s="303"/>
    </row>
    <row r="192" spans="2:60" x14ac:dyDescent="0.3">
      <c r="G192" s="306"/>
      <c r="H192" s="306"/>
      <c r="N192" s="301"/>
      <c r="O192" s="303"/>
      <c r="P192" s="303"/>
      <c r="Q192" s="303"/>
      <c r="R192" s="303"/>
      <c r="S192" s="303"/>
      <c r="T192" s="303"/>
      <c r="U192" s="303"/>
      <c r="V192" s="303"/>
      <c r="W192" s="303"/>
      <c r="X192" s="303"/>
      <c r="Y192" s="303"/>
      <c r="Z192" s="303"/>
      <c r="AA192" s="303"/>
      <c r="AB192" s="303"/>
      <c r="AC192" s="303"/>
      <c r="AD192" s="303"/>
      <c r="AE192" s="303"/>
      <c r="AF192" s="303"/>
      <c r="AG192" s="303"/>
      <c r="AH192" s="303"/>
      <c r="AI192" s="303"/>
      <c r="AJ192" s="303"/>
      <c r="AK192" s="303"/>
      <c r="AL192" s="303"/>
      <c r="AM192" s="303"/>
      <c r="AN192" s="303"/>
      <c r="AO192" s="303"/>
      <c r="AP192" s="303"/>
      <c r="AQ192" s="303"/>
      <c r="AR192" s="303"/>
      <c r="AS192" s="303"/>
      <c r="AT192" s="303"/>
      <c r="AU192" s="303"/>
      <c r="AV192" s="303"/>
      <c r="AW192" s="303"/>
      <c r="AX192" s="303"/>
      <c r="AY192" s="303"/>
      <c r="AZ192" s="303"/>
      <c r="BA192" s="303"/>
      <c r="BB192" s="303"/>
      <c r="BC192" s="303"/>
      <c r="BD192" s="303"/>
      <c r="BE192" s="303"/>
      <c r="BF192" s="303"/>
      <c r="BG192" s="303"/>
      <c r="BH192" s="303"/>
    </row>
    <row r="193" spans="3:60" x14ac:dyDescent="0.3">
      <c r="G193" s="304" t="s">
        <v>102</v>
      </c>
      <c r="H193" s="304"/>
      <c r="N193" s="301"/>
      <c r="O193" s="303"/>
      <c r="P193" s="303"/>
      <c r="Q193" s="303"/>
      <c r="R193" s="303"/>
      <c r="S193" s="303"/>
      <c r="T193" s="303"/>
      <c r="U193" s="303"/>
      <c r="V193" s="303"/>
      <c r="W193" s="303"/>
      <c r="X193" s="303"/>
      <c r="Y193" s="303"/>
      <c r="Z193" s="303"/>
      <c r="AA193" s="303"/>
      <c r="AB193" s="303"/>
      <c r="AC193" s="303"/>
      <c r="AD193" s="303"/>
      <c r="AE193" s="303"/>
      <c r="AF193" s="303"/>
      <c r="AG193" s="303"/>
      <c r="AH193" s="303"/>
      <c r="AI193" s="303"/>
      <c r="AJ193" s="303"/>
      <c r="AK193" s="303"/>
      <c r="AL193" s="303"/>
      <c r="AM193" s="303"/>
      <c r="AN193" s="303"/>
      <c r="AO193" s="303"/>
      <c r="AP193" s="303"/>
      <c r="AQ193" s="303"/>
      <c r="AR193" s="303"/>
      <c r="AS193" s="303"/>
      <c r="AT193" s="303"/>
      <c r="AU193" s="303"/>
      <c r="AV193" s="303"/>
      <c r="AW193" s="303"/>
      <c r="AX193" s="303"/>
      <c r="AY193" s="303"/>
      <c r="AZ193" s="303"/>
      <c r="BA193" s="303"/>
      <c r="BB193" s="303"/>
      <c r="BC193" s="303"/>
      <c r="BD193" s="303"/>
      <c r="BE193" s="303"/>
      <c r="BF193" s="303"/>
      <c r="BG193" s="303"/>
      <c r="BH193" s="303"/>
    </row>
    <row r="194" spans="3:60" x14ac:dyDescent="0.3">
      <c r="G194" s="303" t="s">
        <v>43</v>
      </c>
      <c r="H194" s="303"/>
      <c r="K194" s="303"/>
      <c r="L194" s="303"/>
      <c r="M194" s="303"/>
      <c r="N194" s="301"/>
      <c r="O194" s="303"/>
      <c r="P194" s="303"/>
      <c r="Q194" s="303"/>
      <c r="R194" s="303"/>
      <c r="S194" s="303"/>
      <c r="T194" s="303"/>
      <c r="U194" s="303"/>
      <c r="V194" s="303"/>
      <c r="W194" s="303"/>
      <c r="X194" s="303"/>
      <c r="Y194" s="303"/>
      <c r="Z194" s="303"/>
      <c r="AA194" s="303"/>
      <c r="AB194" s="303"/>
      <c r="AC194" s="303"/>
      <c r="AD194" s="303"/>
      <c r="AE194" s="303"/>
      <c r="AF194" s="303"/>
      <c r="AG194" s="303"/>
      <c r="AH194" s="303"/>
      <c r="AI194" s="303"/>
      <c r="AJ194" s="303"/>
      <c r="AK194" s="303"/>
      <c r="AL194" s="303"/>
      <c r="AM194" s="303"/>
      <c r="AN194" s="303"/>
      <c r="AO194" s="303"/>
      <c r="AP194" s="303"/>
      <c r="AQ194" s="303"/>
      <c r="AR194" s="303"/>
      <c r="AS194" s="303"/>
      <c r="AT194" s="303"/>
      <c r="AU194" s="303"/>
      <c r="AV194" s="303"/>
      <c r="AW194" s="303"/>
      <c r="AX194" s="303"/>
      <c r="AY194" s="303"/>
      <c r="AZ194" s="303"/>
      <c r="BA194" s="303"/>
      <c r="BB194" s="303"/>
      <c r="BC194" s="303"/>
      <c r="BD194" s="303"/>
      <c r="BE194" s="303"/>
      <c r="BF194" s="303"/>
      <c r="BG194" s="303"/>
      <c r="BH194" s="303"/>
    </row>
    <row r="195" spans="3:60" x14ac:dyDescent="0.3">
      <c r="G195" s="303" t="s">
        <v>103</v>
      </c>
      <c r="H195" s="303"/>
      <c r="K195" s="303"/>
      <c r="L195" s="303"/>
      <c r="M195" s="303"/>
      <c r="N195" s="301"/>
      <c r="O195" s="303"/>
    </row>
    <row r="196" spans="3:60" x14ac:dyDescent="0.3">
      <c r="G196" s="303" t="s">
        <v>41</v>
      </c>
      <c r="H196" s="303"/>
      <c r="J196" s="304"/>
      <c r="N196" s="301"/>
    </row>
    <row r="197" spans="3:60" x14ac:dyDescent="0.3">
      <c r="G197" s="303"/>
      <c r="H197" s="303"/>
      <c r="J197" s="301"/>
      <c r="N197" s="301"/>
    </row>
    <row r="198" spans="3:60" x14ac:dyDescent="0.3">
      <c r="G198" s="304" t="s">
        <v>104</v>
      </c>
      <c r="H198" s="304"/>
      <c r="I198" s="301"/>
      <c r="J198" s="301"/>
      <c r="K198" s="301"/>
      <c r="N198" s="301"/>
    </row>
    <row r="199" spans="3:60" x14ac:dyDescent="0.3">
      <c r="G199" s="303" t="s">
        <v>39</v>
      </c>
      <c r="H199" s="303"/>
      <c r="I199" s="307"/>
      <c r="J199" s="301"/>
      <c r="K199" s="307"/>
      <c r="N199" s="301"/>
    </row>
    <row r="200" spans="3:60" x14ac:dyDescent="0.3">
      <c r="G200" s="303" t="s">
        <v>42</v>
      </c>
      <c r="H200" s="303"/>
      <c r="I200" s="301"/>
      <c r="J200" s="304"/>
      <c r="K200" s="301"/>
      <c r="N200" s="301"/>
    </row>
    <row r="201" spans="3:60" x14ac:dyDescent="0.3">
      <c r="G201" s="304"/>
      <c r="H201" s="304"/>
      <c r="I201" s="301"/>
      <c r="J201" s="301"/>
      <c r="K201" s="301"/>
      <c r="N201" s="301"/>
    </row>
    <row r="202" spans="3:60" x14ac:dyDescent="0.3">
      <c r="G202" s="304" t="s">
        <v>105</v>
      </c>
      <c r="H202" s="304"/>
      <c r="I202" s="301"/>
      <c r="J202" s="301"/>
      <c r="K202" s="301"/>
      <c r="N202" s="301"/>
    </row>
    <row r="203" spans="3:60" x14ac:dyDescent="0.3">
      <c r="I203" s="301"/>
      <c r="J203" s="301"/>
      <c r="K203" s="301"/>
      <c r="N203" s="301"/>
    </row>
    <row r="204" spans="3:60" x14ac:dyDescent="0.3">
      <c r="G204" s="303" t="s">
        <v>40</v>
      </c>
      <c r="H204" s="303"/>
      <c r="I204" s="301"/>
      <c r="J204" s="301"/>
      <c r="K204" s="301"/>
      <c r="N204" s="301"/>
    </row>
    <row r="205" spans="3:60" x14ac:dyDescent="0.3">
      <c r="G205" s="303" t="s">
        <v>106</v>
      </c>
      <c r="H205" s="303"/>
      <c r="I205" s="301"/>
      <c r="J205" s="301"/>
      <c r="K205" s="301"/>
      <c r="N205" s="301"/>
    </row>
    <row r="206" spans="3:60" x14ac:dyDescent="0.3">
      <c r="G206" s="303" t="s">
        <v>242</v>
      </c>
      <c r="H206" s="301"/>
      <c r="I206" s="301"/>
      <c r="J206" s="301"/>
      <c r="K206" s="301"/>
      <c r="N206" s="301"/>
    </row>
    <row r="207" spans="3:60" x14ac:dyDescent="0.3">
      <c r="G207" s="301"/>
      <c r="H207" s="301"/>
      <c r="I207" s="301"/>
      <c r="J207" s="301"/>
      <c r="K207" s="301"/>
      <c r="N207" s="301"/>
    </row>
    <row r="208" spans="3:60" x14ac:dyDescent="0.3">
      <c r="C208" s="230">
        <v>1</v>
      </c>
      <c r="G208" s="303" t="s">
        <v>593</v>
      </c>
      <c r="H208" s="303"/>
      <c r="I208" s="301"/>
      <c r="J208" s="301"/>
      <c r="K208" s="301"/>
      <c r="N208" s="301"/>
    </row>
    <row r="209" spans="3:14" x14ac:dyDescent="0.3">
      <c r="C209" s="230">
        <v>2</v>
      </c>
      <c r="G209" s="303" t="s">
        <v>594</v>
      </c>
      <c r="H209" s="303"/>
      <c r="I209" s="301"/>
      <c r="J209" s="301"/>
      <c r="K209" s="301"/>
      <c r="N209" s="301"/>
    </row>
    <row r="210" spans="3:14" x14ac:dyDescent="0.3">
      <c r="C210" s="230">
        <v>3</v>
      </c>
      <c r="G210" s="303" t="s">
        <v>595</v>
      </c>
      <c r="H210" s="303"/>
      <c r="N210" s="301"/>
    </row>
    <row r="211" spans="3:14" x14ac:dyDescent="0.3">
      <c r="C211" s="230">
        <v>4</v>
      </c>
      <c r="G211" s="303" t="s">
        <v>596</v>
      </c>
      <c r="H211" s="303"/>
      <c r="N211" s="301"/>
    </row>
    <row r="212" spans="3:14" x14ac:dyDescent="0.3">
      <c r="C212" s="230">
        <v>5</v>
      </c>
      <c r="G212" s="303" t="s">
        <v>211</v>
      </c>
      <c r="H212" s="303"/>
      <c r="N212" s="301"/>
    </row>
    <row r="213" spans="3:14" x14ac:dyDescent="0.3">
      <c r="C213" s="230">
        <v>6</v>
      </c>
      <c r="G213" s="303" t="s">
        <v>597</v>
      </c>
      <c r="H213" s="303"/>
      <c r="N213" s="301"/>
    </row>
    <row r="214" spans="3:14" x14ac:dyDescent="0.3">
      <c r="C214" s="230">
        <v>7</v>
      </c>
      <c r="G214" s="303" t="s">
        <v>598</v>
      </c>
      <c r="H214" s="303"/>
      <c r="N214" s="301"/>
    </row>
    <row r="215" spans="3:14" x14ac:dyDescent="0.3">
      <c r="G215" s="303"/>
      <c r="H215" s="303"/>
      <c r="N215" s="301"/>
    </row>
    <row r="216" spans="3:14" x14ac:dyDescent="0.3">
      <c r="G216" s="303"/>
      <c r="H216" s="303"/>
      <c r="N216" s="301"/>
    </row>
    <row r="217" spans="3:14" x14ac:dyDescent="0.3">
      <c r="G217" s="303"/>
      <c r="H217" s="303"/>
      <c r="N217" s="301"/>
    </row>
    <row r="218" spans="3:14" x14ac:dyDescent="0.3">
      <c r="G218" s="303"/>
      <c r="H218" s="303"/>
      <c r="N218" s="301"/>
    </row>
    <row r="219" spans="3:14" x14ac:dyDescent="0.3">
      <c r="G219" s="303"/>
      <c r="H219" s="303"/>
      <c r="N219" s="301"/>
    </row>
    <row r="220" spans="3:14" x14ac:dyDescent="0.3">
      <c r="G220" s="303"/>
      <c r="H220" s="303"/>
      <c r="N220" s="301"/>
    </row>
    <row r="221" spans="3:14" x14ac:dyDescent="0.3">
      <c r="G221" s="303"/>
      <c r="H221" s="303"/>
      <c r="N221" s="301"/>
    </row>
    <row r="222" spans="3:14" x14ac:dyDescent="0.3">
      <c r="G222" s="303"/>
      <c r="H222" s="303"/>
      <c r="N222" s="301"/>
    </row>
    <row r="223" spans="3:14" x14ac:dyDescent="0.3">
      <c r="G223" s="303"/>
      <c r="H223" s="303"/>
      <c r="N223" s="301"/>
    </row>
    <row r="224" spans="3:14" x14ac:dyDescent="0.3">
      <c r="G224" s="303"/>
      <c r="H224" s="303"/>
      <c r="N224" s="301"/>
    </row>
    <row r="225" spans="7:14" x14ac:dyDescent="0.3">
      <c r="G225" s="303"/>
      <c r="H225" s="303"/>
      <c r="N225" s="301"/>
    </row>
    <row r="226" spans="7:14" x14ac:dyDescent="0.3">
      <c r="G226" s="303"/>
      <c r="H226" s="303"/>
      <c r="N226" s="301"/>
    </row>
    <row r="227" spans="7:14" x14ac:dyDescent="0.3">
      <c r="G227" s="303"/>
      <c r="H227" s="303"/>
      <c r="N227" s="301"/>
    </row>
    <row r="228" spans="7:14" x14ac:dyDescent="0.3">
      <c r="G228" s="303"/>
      <c r="H228" s="303"/>
      <c r="N228" s="301"/>
    </row>
    <row r="229" spans="7:14" x14ac:dyDescent="0.3">
      <c r="G229" s="303"/>
      <c r="H229" s="303"/>
      <c r="N229" s="301"/>
    </row>
    <row r="230" spans="7:14" x14ac:dyDescent="0.3">
      <c r="G230" s="303"/>
      <c r="H230" s="303"/>
      <c r="N230" s="301"/>
    </row>
    <row r="231" spans="7:14" x14ac:dyDescent="0.3">
      <c r="G231" s="303"/>
      <c r="H231" s="303"/>
      <c r="N231" s="301"/>
    </row>
    <row r="232" spans="7:14" x14ac:dyDescent="0.25">
      <c r="G232" s="303"/>
      <c r="H232" s="303"/>
    </row>
    <row r="233" spans="7:14" x14ac:dyDescent="0.25">
      <c r="G233" s="303"/>
      <c r="H233" s="303"/>
    </row>
    <row r="234" spans="7:14" x14ac:dyDescent="0.25">
      <c r="G234" s="303"/>
      <c r="H234" s="303"/>
    </row>
    <row r="235" spans="7:14" x14ac:dyDescent="0.25">
      <c r="G235" s="303"/>
      <c r="H235" s="303"/>
    </row>
    <row r="236" spans="7:14" x14ac:dyDescent="0.25">
      <c r="G236" s="303"/>
      <c r="H236" s="303"/>
    </row>
    <row r="237" spans="7:14" x14ac:dyDescent="0.25">
      <c r="G237" s="303"/>
      <c r="H237" s="303"/>
    </row>
    <row r="238" spans="7:14" x14ac:dyDescent="0.25">
      <c r="G238" s="303"/>
      <c r="H238" s="303"/>
    </row>
    <row r="239" spans="7:14" x14ac:dyDescent="0.25">
      <c r="G239" s="303"/>
      <c r="H239" s="303"/>
    </row>
    <row r="240" spans="7:14" x14ac:dyDescent="0.25">
      <c r="G240" s="303"/>
      <c r="H240" s="303"/>
    </row>
    <row r="241" spans="7:8" x14ac:dyDescent="0.25">
      <c r="G241" s="303"/>
      <c r="H241" s="303"/>
    </row>
    <row r="242" spans="7:8" x14ac:dyDescent="0.25">
      <c r="G242" s="303"/>
      <c r="H242" s="303"/>
    </row>
    <row r="243" spans="7:8" x14ac:dyDescent="0.25">
      <c r="G243" s="303"/>
      <c r="H243" s="303"/>
    </row>
    <row r="244" spans="7:8" x14ac:dyDescent="0.25">
      <c r="G244" s="303"/>
      <c r="H244" s="303"/>
    </row>
    <row r="245" spans="7:8" x14ac:dyDescent="0.25">
      <c r="G245" s="303"/>
      <c r="H245" s="303"/>
    </row>
    <row r="246" spans="7:8" x14ac:dyDescent="0.25">
      <c r="G246" s="303"/>
      <c r="H246" s="303"/>
    </row>
    <row r="247" spans="7:8" x14ac:dyDescent="0.25">
      <c r="G247" s="303"/>
      <c r="H247" s="303"/>
    </row>
    <row r="248" spans="7:8" x14ac:dyDescent="0.25">
      <c r="G248" s="303"/>
      <c r="H248" s="303"/>
    </row>
    <row r="249" spans="7:8" x14ac:dyDescent="0.25">
      <c r="G249" s="303"/>
      <c r="H249" s="303"/>
    </row>
    <row r="250" spans="7:8" x14ac:dyDescent="0.25">
      <c r="G250" s="303"/>
      <c r="H250" s="303"/>
    </row>
    <row r="251" spans="7:8" x14ac:dyDescent="0.25">
      <c r="G251" s="303"/>
      <c r="H251" s="303"/>
    </row>
    <row r="252" spans="7:8" x14ac:dyDescent="0.25">
      <c r="G252" s="303"/>
      <c r="H252" s="303"/>
    </row>
    <row r="253" spans="7:8" x14ac:dyDescent="0.25">
      <c r="G253" s="303"/>
      <c r="H253" s="303"/>
    </row>
    <row r="254" spans="7:8" x14ac:dyDescent="0.25">
      <c r="G254" s="303"/>
      <c r="H254" s="303"/>
    </row>
    <row r="255" spans="7:8" x14ac:dyDescent="0.25">
      <c r="G255" s="303"/>
      <c r="H255" s="303"/>
    </row>
    <row r="256" spans="7:8" x14ac:dyDescent="0.25">
      <c r="G256" s="303"/>
      <c r="H256" s="303"/>
    </row>
    <row r="257" spans="7:8" x14ac:dyDescent="0.25">
      <c r="G257" s="303"/>
      <c r="H257" s="303"/>
    </row>
    <row r="258" spans="7:8" x14ac:dyDescent="0.25">
      <c r="G258" s="303"/>
      <c r="H258" s="303"/>
    </row>
    <row r="259" spans="7:8" x14ac:dyDescent="0.25">
      <c r="G259" s="303"/>
      <c r="H259" s="303"/>
    </row>
    <row r="260" spans="7:8" x14ac:dyDescent="0.25">
      <c r="G260" s="303"/>
      <c r="H260" s="303"/>
    </row>
    <row r="261" spans="7:8" x14ac:dyDescent="0.25">
      <c r="G261" s="303"/>
      <c r="H261" s="303"/>
    </row>
  </sheetData>
  <mergeCells count="116">
    <mergeCell ref="B79:B80"/>
    <mergeCell ref="C79:C80"/>
    <mergeCell ref="B26:B32"/>
    <mergeCell ref="C26:C32"/>
    <mergeCell ref="D26:D32"/>
    <mergeCell ref="B33:B36"/>
    <mergeCell ref="C33:C36"/>
    <mergeCell ref="D33:D36"/>
    <mergeCell ref="E11:E21"/>
    <mergeCell ref="E22:E23"/>
    <mergeCell ref="E24:E25"/>
    <mergeCell ref="E26:E32"/>
    <mergeCell ref="E33:E36"/>
    <mergeCell ref="B11:B21"/>
    <mergeCell ref="C11:C21"/>
    <mergeCell ref="D11:D21"/>
    <mergeCell ref="B22:B23"/>
    <mergeCell ref="C22:C23"/>
    <mergeCell ref="D22:D23"/>
    <mergeCell ref="B24:B25"/>
    <mergeCell ref="C24:C25"/>
    <mergeCell ref="D24:D25"/>
    <mergeCell ref="B38:B44"/>
    <mergeCell ref="C38:C44"/>
    <mergeCell ref="B4:G4"/>
    <mergeCell ref="B5:G5"/>
    <mergeCell ref="I5:V5"/>
    <mergeCell ref="W5:X5"/>
    <mergeCell ref="Y5:AA5"/>
    <mergeCell ref="H4:AF4"/>
    <mergeCell ref="B1:G3"/>
    <mergeCell ref="H1:AF1"/>
    <mergeCell ref="B6:G6"/>
    <mergeCell ref="I6:AA6"/>
    <mergeCell ref="B7:G7"/>
    <mergeCell ref="W7:Z7"/>
    <mergeCell ref="B8:B10"/>
    <mergeCell ref="C8:C10"/>
    <mergeCell ref="D8:D10"/>
    <mergeCell ref="E8:E10"/>
    <mergeCell ref="F8:F10"/>
    <mergeCell ref="AP9:AQ9"/>
    <mergeCell ref="AR9:AR10"/>
    <mergeCell ref="AP8:AR8"/>
    <mergeCell ref="L9:N9"/>
    <mergeCell ref="O9:Q9"/>
    <mergeCell ref="R9:T9"/>
    <mergeCell ref="U9:W9"/>
    <mergeCell ref="X9:Z9"/>
    <mergeCell ref="AB9:AB10"/>
    <mergeCell ref="AC9:AD9"/>
    <mergeCell ref="AE9:AE10"/>
    <mergeCell ref="AG9:AH9"/>
    <mergeCell ref="AA8:AA10"/>
    <mergeCell ref="AB8:AE8"/>
    <mergeCell ref="AF8:AF10"/>
    <mergeCell ref="AG8:AI8"/>
    <mergeCell ref="AJ8:AL8"/>
    <mergeCell ref="AM8:AO8"/>
    <mergeCell ref="AI9:AI10"/>
    <mergeCell ref="AJ9:AK9"/>
    <mergeCell ref="AO9:AO10"/>
    <mergeCell ref="AL9:AL10"/>
    <mergeCell ref="AM9:AN9"/>
    <mergeCell ref="G8:G10"/>
    <mergeCell ref="H8:H10"/>
    <mergeCell ref="I8:I10"/>
    <mergeCell ref="J8:J10"/>
    <mergeCell ref="K8:K10"/>
    <mergeCell ref="L8:Z8"/>
    <mergeCell ref="D38:D44"/>
    <mergeCell ref="E38:E44"/>
    <mergeCell ref="B47:B52"/>
    <mergeCell ref="C47:C50"/>
    <mergeCell ref="D47:D50"/>
    <mergeCell ref="E47:E50"/>
    <mergeCell ref="C51:C52"/>
    <mergeCell ref="D51:D52"/>
    <mergeCell ref="E66:E67"/>
    <mergeCell ref="C68:C69"/>
    <mergeCell ref="D68:D69"/>
    <mergeCell ref="E68:E69"/>
    <mergeCell ref="E51:E52"/>
    <mergeCell ref="B53:B54"/>
    <mergeCell ref="C53:C54"/>
    <mergeCell ref="E53:E54"/>
    <mergeCell ref="B55:B65"/>
    <mergeCell ref="C55:C59"/>
    <mergeCell ref="D55:D59"/>
    <mergeCell ref="E55:E59"/>
    <mergeCell ref="C60:C65"/>
    <mergeCell ref="D60:D65"/>
    <mergeCell ref="A8:A10"/>
    <mergeCell ref="H7:V7"/>
    <mergeCell ref="H2:AF2"/>
    <mergeCell ref="H3:AF3"/>
    <mergeCell ref="B81:B84"/>
    <mergeCell ref="C81:C84"/>
    <mergeCell ref="D81:D84"/>
    <mergeCell ref="E81:E84"/>
    <mergeCell ref="B85:B91"/>
    <mergeCell ref="C85:C91"/>
    <mergeCell ref="D85:D91"/>
    <mergeCell ref="E85:E91"/>
    <mergeCell ref="B70:B73"/>
    <mergeCell ref="C70:C73"/>
    <mergeCell ref="D70:D73"/>
    <mergeCell ref="E70:E73"/>
    <mergeCell ref="B74:B78"/>
    <mergeCell ref="C74:C78"/>
    <mergeCell ref="D74:D78"/>
    <mergeCell ref="E74:E78"/>
    <mergeCell ref="E60:E65"/>
    <mergeCell ref="B66:B69"/>
    <mergeCell ref="C66:C67"/>
    <mergeCell ref="D66:D67"/>
  </mergeCells>
  <conditionalFormatting sqref="Q55:Q69 N55:N69 T55:T69 Z55:Z69 W55:W69">
    <cfRule type="cellIs" dxfId="421" priority="45" stopIfTrue="1" operator="equal">
      <formula>0</formula>
    </cfRule>
    <cfRule type="cellIs" dxfId="420" priority="46" stopIfTrue="1" operator="greaterThan">
      <formula>1</formula>
    </cfRule>
    <cfRule type="cellIs" dxfId="419" priority="47" stopIfTrue="1" operator="between">
      <formula>0.9</formula>
      <formula>1</formula>
    </cfRule>
    <cfRule type="cellIs" dxfId="418" priority="48" stopIfTrue="1" operator="between">
      <formula>0.7</formula>
      <formula>0.8999</formula>
    </cfRule>
    <cfRule type="cellIs" dxfId="417" priority="49" stopIfTrue="1" operator="between">
      <formula>0.00001</formula>
      <formula>0.6999</formula>
    </cfRule>
  </conditionalFormatting>
  <conditionalFormatting sqref="W38:W54 T38:T54 N38:N54 Q38:Q54 Z38:Z54">
    <cfRule type="cellIs" dxfId="416" priority="50" stopIfTrue="1" operator="equal">
      <formula>0</formula>
    </cfRule>
    <cfRule type="cellIs" dxfId="415" priority="51" stopIfTrue="1" operator="greaterThan">
      <formula>1</formula>
    </cfRule>
    <cfRule type="cellIs" dxfId="414" priority="52" stopIfTrue="1" operator="between">
      <formula>0.9</formula>
      <formula>1</formula>
    </cfRule>
    <cfRule type="cellIs" dxfId="413" priority="53" stopIfTrue="1" operator="between">
      <formula>0.7</formula>
      <formula>0.8999</formula>
    </cfRule>
    <cfRule type="cellIs" dxfId="412" priority="54" stopIfTrue="1" operator="between">
      <formula>0.00001</formula>
      <formula>0.6999</formula>
    </cfRule>
  </conditionalFormatting>
  <conditionalFormatting sqref="Q40:Q54">
    <cfRule type="colorScale" priority="55">
      <colorScale>
        <cfvo type="min"/>
        <cfvo type="percent" val="100"/>
        <color rgb="FFFF7128"/>
        <color theme="0"/>
      </colorScale>
    </cfRule>
  </conditionalFormatting>
  <conditionalFormatting sqref="Z70:Z78 N70:N78 Q70:Q78 T70:T78 W70:W78">
    <cfRule type="cellIs" dxfId="411" priority="40" stopIfTrue="1" operator="equal">
      <formula>0</formula>
    </cfRule>
    <cfRule type="cellIs" dxfId="410" priority="41" stopIfTrue="1" operator="greaterThan">
      <formula>1</formula>
    </cfRule>
    <cfRule type="cellIs" dxfId="409" priority="42" stopIfTrue="1" operator="between">
      <formula>0.9</formula>
      <formula>1</formula>
    </cfRule>
    <cfRule type="cellIs" dxfId="408" priority="43" stopIfTrue="1" operator="between">
      <formula>0.7</formula>
      <formula>0.8999</formula>
    </cfRule>
    <cfRule type="cellIs" dxfId="407" priority="44" stopIfTrue="1" operator="between">
      <formula>0.00001</formula>
      <formula>0.6999</formula>
    </cfRule>
  </conditionalFormatting>
  <conditionalFormatting sqref="Q74">
    <cfRule type="colorScale" priority="39">
      <colorScale>
        <cfvo type="min"/>
        <cfvo type="percent" val="100"/>
        <color rgb="FFFF7128"/>
        <color theme="0"/>
      </colorScale>
    </cfRule>
  </conditionalFormatting>
  <conditionalFormatting sqref="W80 Z80 T80 Q80 N80">
    <cfRule type="cellIs" dxfId="406" priority="34" stopIfTrue="1" operator="equal">
      <formula>0</formula>
    </cfRule>
    <cfRule type="cellIs" dxfId="405" priority="35" stopIfTrue="1" operator="greaterThan">
      <formula>1</formula>
    </cfRule>
    <cfRule type="cellIs" dxfId="404" priority="36" stopIfTrue="1" operator="between">
      <formula>0.9</formula>
      <formula>1</formula>
    </cfRule>
    <cfRule type="cellIs" dxfId="403" priority="37" stopIfTrue="1" operator="between">
      <formula>0.7</formula>
      <formula>0.8999</formula>
    </cfRule>
    <cfRule type="cellIs" dxfId="402" priority="38" stopIfTrue="1" operator="between">
      <formula>0.00001</formula>
      <formula>0.6999</formula>
    </cfRule>
  </conditionalFormatting>
  <conditionalFormatting sqref="W81:W82 Z81:Z82 T81:T82 N81:N82 Q81:Q82 Q84 N84 T84 Z84 W84">
    <cfRule type="cellIs" dxfId="401" priority="29" stopIfTrue="1" operator="equal">
      <formula>0</formula>
    </cfRule>
    <cfRule type="cellIs" dxfId="400" priority="30" stopIfTrue="1" operator="greaterThan">
      <formula>1</formula>
    </cfRule>
    <cfRule type="cellIs" dxfId="399" priority="31" stopIfTrue="1" operator="between">
      <formula>0.9</formula>
      <formula>1</formula>
    </cfRule>
    <cfRule type="cellIs" dxfId="398" priority="32" stopIfTrue="1" operator="between">
      <formula>0.7</formula>
      <formula>0.8999</formula>
    </cfRule>
    <cfRule type="cellIs" dxfId="397" priority="33" stopIfTrue="1" operator="between">
      <formula>0.00001</formula>
      <formula>0.6999</formula>
    </cfRule>
  </conditionalFormatting>
  <conditionalFormatting sqref="Q84">
    <cfRule type="colorScale" priority="28">
      <colorScale>
        <cfvo type="min"/>
        <cfvo type="percent" val="100"/>
        <color rgb="FFFF7128"/>
        <color theme="0"/>
      </colorScale>
    </cfRule>
  </conditionalFormatting>
  <conditionalFormatting sqref="W85:W91 Z85:Z91 T85:T91 N85:N91 Q85:Q91">
    <cfRule type="cellIs" dxfId="396" priority="23" stopIfTrue="1" operator="equal">
      <formula>0</formula>
    </cfRule>
    <cfRule type="cellIs" dxfId="395" priority="24" stopIfTrue="1" operator="greaterThan">
      <formula>1</formula>
    </cfRule>
    <cfRule type="cellIs" dxfId="394" priority="25" stopIfTrue="1" operator="between">
      <formula>0.9</formula>
      <formula>1</formula>
    </cfRule>
    <cfRule type="cellIs" dxfId="393" priority="26" stopIfTrue="1" operator="between">
      <formula>0.7</formula>
      <formula>0.8999</formula>
    </cfRule>
    <cfRule type="cellIs" dxfId="392" priority="27" stopIfTrue="1" operator="between">
      <formula>0.00001</formula>
      <formula>0.6999</formula>
    </cfRule>
  </conditionalFormatting>
  <conditionalFormatting sqref="W24:W25 Z24:Z25 T24:T25 Q24:Q25 N24:N25">
    <cfRule type="cellIs" dxfId="391" priority="12" stopIfTrue="1" operator="equal">
      <formula>0</formula>
    </cfRule>
    <cfRule type="cellIs" dxfId="390" priority="13" stopIfTrue="1" operator="greaterThan">
      <formula>1</formula>
    </cfRule>
    <cfRule type="cellIs" dxfId="389" priority="14" stopIfTrue="1" operator="between">
      <formula>0.9</formula>
      <formula>1</formula>
    </cfRule>
    <cfRule type="cellIs" dxfId="388" priority="15" stopIfTrue="1" operator="between">
      <formula>0.7</formula>
      <formula>0.8999</formula>
    </cfRule>
    <cfRule type="cellIs" dxfId="387" priority="16" stopIfTrue="1" operator="between">
      <formula>0.00001</formula>
      <formula>0.6999</formula>
    </cfRule>
  </conditionalFormatting>
  <conditionalFormatting sqref="Q26:Q37 N26:N37 T26:T37 Z26:Z37 W26:W37 W11:W23 Z11:Z23 T11:T23 N11:N23 Q11:Q23">
    <cfRule type="cellIs" dxfId="386" priority="18" stopIfTrue="1" operator="equal">
      <formula>0</formula>
    </cfRule>
    <cfRule type="cellIs" dxfId="385" priority="19" stopIfTrue="1" operator="greaterThan">
      <formula>1</formula>
    </cfRule>
    <cfRule type="cellIs" dxfId="384" priority="20" stopIfTrue="1" operator="between">
      <formula>0.9</formula>
      <formula>1</formula>
    </cfRule>
    <cfRule type="cellIs" dxfId="383" priority="21" stopIfTrue="1" operator="between">
      <formula>0.7</formula>
      <formula>0.8999</formula>
    </cfRule>
    <cfRule type="cellIs" dxfId="382" priority="22" stopIfTrue="1" operator="between">
      <formula>0.00001</formula>
      <formula>0.6999</formula>
    </cfRule>
  </conditionalFormatting>
  <conditionalFormatting sqref="Q14:Q20">
    <cfRule type="colorScale" priority="17">
      <colorScale>
        <cfvo type="min"/>
        <cfvo type="percent" val="100"/>
        <color rgb="FFFF7128"/>
        <color theme="0"/>
      </colorScale>
    </cfRule>
  </conditionalFormatting>
  <conditionalFormatting sqref="W79 Z79 T79 Q79 N79">
    <cfRule type="cellIs" dxfId="381" priority="7" stopIfTrue="1" operator="equal">
      <formula>0</formula>
    </cfRule>
    <cfRule type="cellIs" dxfId="380" priority="8" stopIfTrue="1" operator="greaterThan">
      <formula>1</formula>
    </cfRule>
    <cfRule type="cellIs" dxfId="379" priority="9" stopIfTrue="1" operator="between">
      <formula>0.9</formula>
      <formula>1</formula>
    </cfRule>
    <cfRule type="cellIs" dxfId="378" priority="10" stopIfTrue="1" operator="between">
      <formula>0.7</formula>
      <formula>0.8999</formula>
    </cfRule>
    <cfRule type="cellIs" dxfId="377" priority="11" stopIfTrue="1" operator="between">
      <formula>0.00001</formula>
      <formula>0.6999</formula>
    </cfRule>
  </conditionalFormatting>
  <conditionalFormatting sqref="Q83 N83 T83 Z83 W83">
    <cfRule type="cellIs" dxfId="376" priority="2" stopIfTrue="1" operator="equal">
      <formula>0</formula>
    </cfRule>
    <cfRule type="cellIs" dxfId="375" priority="3" stopIfTrue="1" operator="greaterThan">
      <formula>1</formula>
    </cfRule>
    <cfRule type="cellIs" dxfId="374" priority="4" stopIfTrue="1" operator="between">
      <formula>0.9</formula>
      <formula>1</formula>
    </cfRule>
    <cfRule type="cellIs" dxfId="373" priority="5" stopIfTrue="1" operator="between">
      <formula>0.7</formula>
      <formula>0.8999</formula>
    </cfRule>
    <cfRule type="cellIs" dxfId="372" priority="6" stopIfTrue="1" operator="between">
      <formula>0.00001</formula>
      <formula>0.6999</formula>
    </cfRule>
  </conditionalFormatting>
  <conditionalFormatting sqref="Q83">
    <cfRule type="colorScale" priority="1">
      <colorScale>
        <cfvo type="min"/>
        <cfvo type="percent" val="100"/>
        <color rgb="FFFF7128"/>
        <color theme="0"/>
      </colorScale>
    </cfRule>
  </conditionalFormatting>
  <dataValidations count="25">
    <dataValidation type="list" allowBlank="1" showInputMessage="1" showErrorMessage="1" prompt="Elija una opción del menu desplegable" sqref="J38:J52">
      <formula1>$G$199:$G$200</formula1>
    </dataValidation>
    <dataValidation allowBlank="1" showInputMessage="1" showErrorMessage="1" sqref="Y5:AA5"/>
    <dataValidation showInputMessage="1" showErrorMessage="1" sqref="W5"/>
    <dataValidation type="list" allowBlank="1" showInputMessage="1" showErrorMessage="1" error="Debe seleccionar uno de los campos del menu desplegable" prompt="Elija una opción del menu desplegable" sqref="K55:K69">
      <formula1>$G$198:$G$199</formula1>
    </dataValidation>
    <dataValidation type="list" allowBlank="1" showInputMessage="1" showErrorMessage="1" prompt="Elija una opción del menu desplegable" sqref="J55:J67">
      <formula1>$G$193:$G$194</formula1>
    </dataValidation>
    <dataValidation type="list" errorStyle="information" showInputMessage="1" showErrorMessage="1" error="Elija una Categoría" prompt="Elija una opción del menú desplegable" sqref="AE79:AE80">
      <formula1>$D$185:$D$187</formula1>
    </dataValidation>
    <dataValidation type="list" errorStyle="information" showInputMessage="1" showErrorMessage="1" error="Elija una Categoría" prompt="Elija una opción del menú desplegable" sqref="AE81:AE84">
      <formula1>$D$187:$D$189</formula1>
    </dataValidation>
    <dataValidation type="list" errorStyle="information" showInputMessage="1" showErrorMessage="1" error="Elija una Categoría" prompt="Elija una opción del menú desplegable" sqref="AE85:AE91">
      <formula1>$G$134:$G$136</formula1>
    </dataValidation>
    <dataValidation type="list" allowBlank="1" showInputMessage="1" showErrorMessage="1" error="Debe seleccionar uno de los campos del menu desplegable" prompt="Elija una opción del menu desplegable" sqref="K85:K91">
      <formula1>$G$144:$G$145</formula1>
    </dataValidation>
    <dataValidation type="list" allowBlank="1" showInputMessage="1" showErrorMessage="1" prompt="Elija una opción del menu desplegable" sqref="J85:J91">
      <formula1>$G$125:$G$126</formula1>
    </dataValidation>
    <dataValidation type="list" allowBlank="1" showInputMessage="1" showErrorMessage="1" prompt="Elija una opción del menu desplegable" sqref="J53:J54 J68:J69 J81:J84">
      <formula1>#REF!</formula1>
    </dataValidation>
    <dataValidation type="list" allowBlank="1" showInputMessage="1" showErrorMessage="1" prompt="Elija una opción del menú desplegable" sqref="I5">
      <formula1>$G$175:$G$190</formula1>
    </dataValidation>
    <dataValidation type="list" errorStyle="information" showInputMessage="1" showErrorMessage="1" error="Elija una Categoría" prompt="Elija una opción del menú desplegable" sqref="AE55:AE78">
      <formula1>#REF!</formula1>
    </dataValidation>
    <dataValidation type="list" allowBlank="1" showInputMessage="1" showErrorMessage="1" error="Debe seleccionar uno de los campos del menu desplegable" prompt="Elija una opción del menu desplegable" sqref="K79:K84">
      <formula1>#REF!</formula1>
    </dataValidation>
    <dataValidation type="list" allowBlank="1" showInputMessage="1" showErrorMessage="1" prompt="Elija una opción del menu desplegable" sqref="J79:J80">
      <formula1>$D$190:$D$190</formula1>
    </dataValidation>
    <dataValidation type="list" allowBlank="1" showInputMessage="1" showErrorMessage="1" error="Debe seleccionar uno de los campos del menu desplegable" prompt="Elija una opción del menu desplegable" sqref="K11:K37">
      <formula1>$G$146:$G$147</formula1>
    </dataValidation>
    <dataValidation type="list" errorStyle="information" showInputMessage="1" showErrorMessage="1" error="Elija una Categoría" prompt="Elija una opción del menú desplegable" sqref="AE11:AE37">
      <formula1>$G$136:$G$138</formula1>
    </dataValidation>
    <dataValidation type="list" allowBlank="1" showInputMessage="1" showErrorMessage="1" prompt="Elija una opción del menu desplegable" sqref="J11:J22">
      <formula1>$G$141:$G$142</formula1>
    </dataValidation>
    <dataValidation type="list" allowBlank="1" showInputMessage="1" showErrorMessage="1" sqref="B11:B21 B24:B34 B37">
      <formula1>$G$150:$G$156</formula1>
    </dataValidation>
    <dataValidation type="list" allowBlank="1" showInputMessage="1" showErrorMessage="1" prompt="Elija una opción del menu desplegable" sqref="J24:J35">
      <formula1>$D$124:$D$125</formula1>
    </dataValidation>
    <dataValidation type="list" allowBlank="1" showInputMessage="1" showErrorMessage="1" prompt="Elija una opción del menu desplegable" sqref="J23 J36:J37">
      <formula1>$G$119:$G$120</formula1>
    </dataValidation>
    <dataValidation errorStyle="information" showInputMessage="1" showErrorMessage="1" error="Elija una Categoría" prompt="Elija una Categoría del menú desplegable" sqref="AF11:AF91"/>
    <dataValidation type="list" allowBlank="1" showInputMessage="1" showErrorMessage="1" error="Debe seleccionar uno de los campos del menu desplegable" prompt="Elija una opción del menu desplegable" sqref="K38:K54">
      <formula1>$G$204:$G$205</formula1>
    </dataValidation>
    <dataValidation type="list" errorStyle="information" showInputMessage="1" showErrorMessage="1" error="Elija una Categoría" prompt="Elija una opción del menú desplegable" sqref="AE38:AE54">
      <formula1>$G$194:$G$196</formula1>
    </dataValidation>
    <dataValidation type="list" allowBlank="1" showInputMessage="1" showErrorMessage="1" sqref="B38:B79 B81:B91">
      <formula1>$G$208:$G$214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85"/>
  <sheetViews>
    <sheetView zoomScale="55" zoomScaleNormal="55" zoomScaleSheetLayoutView="10" workbookViewId="0">
      <selection activeCell="G44" sqref="G44"/>
    </sheetView>
  </sheetViews>
  <sheetFormatPr baseColWidth="10" defaultRowHeight="15.75" x14ac:dyDescent="0.25"/>
  <cols>
    <col min="1" max="1" width="38.875" customWidth="1"/>
    <col min="2" max="2" width="11.125" bestFit="1" customWidth="1"/>
    <col min="3" max="3" width="29.25" customWidth="1"/>
    <col min="4" max="5" width="11.125" bestFit="1" customWidth="1"/>
    <col min="6" max="6" width="29.625" customWidth="1"/>
    <col min="7" max="8" width="11.125" customWidth="1"/>
    <col min="9" max="10" width="15.625" customWidth="1"/>
    <col min="11" max="11" width="17.625" customWidth="1"/>
    <col min="12" max="12" width="16.375" customWidth="1"/>
    <col min="13" max="13" width="11.125" customWidth="1"/>
    <col min="14" max="14" width="18.25" customWidth="1"/>
    <col min="15" max="15" width="17" customWidth="1"/>
    <col min="16" max="16" width="11.125" customWidth="1"/>
    <col min="17" max="17" width="18.375" hidden="1" customWidth="1"/>
    <col min="18" max="19" width="11.125" hidden="1" customWidth="1"/>
    <col min="20" max="20" width="18" hidden="1" customWidth="1"/>
    <col min="21" max="22" width="11.125" hidden="1" customWidth="1"/>
    <col min="23" max="23" width="13.5" customWidth="1"/>
    <col min="24" max="24" width="18.875" customWidth="1"/>
    <col min="25" max="26" width="11.125" customWidth="1"/>
    <col min="27" max="29" width="24.625" customWidth="1"/>
    <col min="30" max="30" width="11" customWidth="1"/>
    <col min="31" max="31" width="32.5" customWidth="1"/>
    <col min="32" max="32" width="16.875" customWidth="1"/>
    <col min="33" max="33" width="18.875" customWidth="1"/>
    <col min="34" max="34" width="49.375" customWidth="1"/>
    <col min="35" max="35" width="16.875" customWidth="1"/>
    <col min="36" max="36" width="18.75" customWidth="1"/>
    <col min="38" max="38" width="16.875" customWidth="1"/>
    <col min="39" max="39" width="18.875" customWidth="1"/>
    <col min="41" max="41" width="16.875" customWidth="1"/>
    <col min="42" max="42" width="18.875" customWidth="1"/>
    <col min="45" max="45" width="12.875" bestFit="1" customWidth="1"/>
  </cols>
  <sheetData>
    <row r="1" spans="1:47" s="230" customFormat="1" ht="18" thickBot="1" x14ac:dyDescent="0.3">
      <c r="A1" s="1515"/>
      <c r="B1" s="1516"/>
      <c r="C1" s="1516"/>
      <c r="D1" s="1516"/>
      <c r="E1" s="1516"/>
      <c r="F1" s="1516"/>
      <c r="G1" s="1441" t="s">
        <v>176</v>
      </c>
      <c r="H1" s="1442"/>
      <c r="I1" s="1442"/>
      <c r="J1" s="1442"/>
      <c r="K1" s="1442"/>
      <c r="L1" s="1442"/>
      <c r="M1" s="1442"/>
      <c r="N1" s="1442"/>
      <c r="O1" s="1442"/>
      <c r="P1" s="1442"/>
      <c r="Q1" s="1442"/>
      <c r="R1" s="1442"/>
      <c r="S1" s="1442"/>
      <c r="T1" s="1442"/>
      <c r="U1" s="1442"/>
      <c r="V1" s="1442"/>
      <c r="W1" s="1442"/>
      <c r="X1" s="1442"/>
      <c r="Y1" s="1442"/>
      <c r="Z1" s="1442"/>
      <c r="AA1" s="1442"/>
      <c r="AB1" s="1442"/>
      <c r="AC1" s="1442"/>
      <c r="AD1" s="1442"/>
      <c r="AE1" s="1443"/>
      <c r="AF1" s="228"/>
      <c r="AG1" s="228"/>
      <c r="AH1" s="228"/>
      <c r="AI1" s="228"/>
      <c r="AJ1" s="228"/>
      <c r="AK1" s="228"/>
      <c r="AL1" s="228"/>
      <c r="AM1" s="228"/>
      <c r="AN1" s="228"/>
      <c r="AO1" s="228"/>
      <c r="AP1" s="228"/>
      <c r="AQ1" s="229"/>
    </row>
    <row r="2" spans="1:47" s="230" customFormat="1" ht="18" thickBot="1" x14ac:dyDescent="0.3">
      <c r="A2" s="1517"/>
      <c r="B2" s="1518"/>
      <c r="C2" s="1518"/>
      <c r="D2" s="1518"/>
      <c r="E2" s="1518"/>
      <c r="F2" s="1518"/>
      <c r="G2" s="1441" t="s">
        <v>0</v>
      </c>
      <c r="H2" s="1442"/>
      <c r="I2" s="1442"/>
      <c r="J2" s="1442"/>
      <c r="K2" s="1442"/>
      <c r="L2" s="1442"/>
      <c r="M2" s="1442"/>
      <c r="N2" s="1442"/>
      <c r="O2" s="1442"/>
      <c r="P2" s="1442"/>
      <c r="Q2" s="1442"/>
      <c r="R2" s="1442"/>
      <c r="S2" s="1442"/>
      <c r="T2" s="1442"/>
      <c r="U2" s="1442"/>
      <c r="V2" s="1442"/>
      <c r="W2" s="1442"/>
      <c r="X2" s="1442"/>
      <c r="Y2" s="1442"/>
      <c r="Z2" s="1442"/>
      <c r="AA2" s="1442"/>
      <c r="AB2" s="1442"/>
      <c r="AC2" s="1442"/>
      <c r="AD2" s="1442"/>
      <c r="AE2" s="1443"/>
      <c r="AQ2" s="233"/>
    </row>
    <row r="3" spans="1:47" s="230" customFormat="1" ht="18" thickBot="1" x14ac:dyDescent="0.3">
      <c r="A3" s="1517"/>
      <c r="B3" s="1518"/>
      <c r="C3" s="1518"/>
      <c r="D3" s="1518"/>
      <c r="E3" s="1518"/>
      <c r="F3" s="1519"/>
      <c r="G3" s="1444" t="s">
        <v>210</v>
      </c>
      <c r="H3" s="1445"/>
      <c r="I3" s="1445"/>
      <c r="J3" s="1445"/>
      <c r="K3" s="1445"/>
      <c r="L3" s="1445"/>
      <c r="M3" s="1445"/>
      <c r="N3" s="1445"/>
      <c r="O3" s="1445"/>
      <c r="P3" s="1445"/>
      <c r="Q3" s="1445"/>
      <c r="R3" s="1445"/>
      <c r="S3" s="1445"/>
      <c r="T3" s="1445"/>
      <c r="U3" s="1445"/>
      <c r="V3" s="1445"/>
      <c r="W3" s="1445"/>
      <c r="X3" s="1445"/>
      <c r="Y3" s="1445"/>
      <c r="Z3" s="1445"/>
      <c r="AA3" s="1445"/>
      <c r="AB3" s="1445"/>
      <c r="AC3" s="1445"/>
      <c r="AD3" s="1445"/>
      <c r="AE3" s="1445"/>
      <c r="AQ3" s="233"/>
    </row>
    <row r="4" spans="1:47" s="230" customFormat="1" ht="18" thickBot="1" x14ac:dyDescent="0.3">
      <c r="A4" s="1504" t="s">
        <v>1</v>
      </c>
      <c r="B4" s="1505"/>
      <c r="C4" s="1505"/>
      <c r="D4" s="1505"/>
      <c r="E4" s="1505"/>
      <c r="F4" s="1505"/>
      <c r="G4" s="1525" t="s">
        <v>227</v>
      </c>
      <c r="H4" s="1526"/>
      <c r="I4" s="1526"/>
      <c r="J4" s="1526"/>
      <c r="K4" s="1526"/>
      <c r="L4" s="1526"/>
      <c r="M4" s="1526"/>
      <c r="N4" s="1526"/>
      <c r="O4" s="1526"/>
      <c r="P4" s="1526"/>
      <c r="Q4" s="1526"/>
      <c r="R4" s="1526"/>
      <c r="S4" s="1526"/>
      <c r="T4" s="1526"/>
      <c r="U4" s="1526"/>
      <c r="V4" s="1526"/>
      <c r="W4" s="1526"/>
      <c r="X4" s="1526"/>
      <c r="Y4" s="1526"/>
      <c r="Z4" s="1526"/>
      <c r="AA4" s="1513"/>
      <c r="AB4" s="1513"/>
      <c r="AC4" s="1513"/>
      <c r="AD4" s="1513"/>
      <c r="AE4" s="1514"/>
      <c r="AQ4" s="233"/>
    </row>
    <row r="5" spans="1:47" s="237" customFormat="1" ht="17.25" x14ac:dyDescent="0.25">
      <c r="A5" s="1504" t="s">
        <v>235</v>
      </c>
      <c r="B5" s="1505"/>
      <c r="C5" s="1505"/>
      <c r="D5" s="1505"/>
      <c r="E5" s="1505"/>
      <c r="F5" s="1506"/>
      <c r="G5" s="1463"/>
      <c r="H5" s="1463"/>
      <c r="I5" s="1463"/>
      <c r="J5" s="1463"/>
      <c r="K5" s="1463"/>
      <c r="L5" s="1463"/>
      <c r="M5" s="1463"/>
      <c r="N5" s="1463"/>
      <c r="O5" s="1463"/>
      <c r="P5" s="1463"/>
      <c r="Q5" s="1463"/>
      <c r="R5" s="1463"/>
      <c r="S5" s="1463"/>
      <c r="T5" s="1463"/>
      <c r="U5" s="1463"/>
      <c r="V5" s="1463" t="s">
        <v>4</v>
      </c>
      <c r="W5" s="1463"/>
      <c r="X5" s="1448" t="str">
        <f>IF(ISERROR(VLOOKUP($H$5,$F$181:$L$195,6,0))," ",VLOOKUP($H$5,$F$181:$L$195,6,0))</f>
        <v xml:space="preserve"> </v>
      </c>
      <c r="Y5" s="1448"/>
      <c r="Z5" s="1448"/>
      <c r="AA5" s="235"/>
      <c r="AB5" s="230"/>
      <c r="AC5" s="230"/>
      <c r="AD5" s="231"/>
      <c r="AE5" s="236"/>
      <c r="AF5" s="230"/>
      <c r="AG5" s="230"/>
      <c r="AH5" s="230"/>
      <c r="AQ5" s="238"/>
    </row>
    <row r="6" spans="1:47" s="237" customFormat="1" ht="17.25" x14ac:dyDescent="0.25">
      <c r="A6" s="1504" t="s">
        <v>5</v>
      </c>
      <c r="B6" s="1505"/>
      <c r="C6" s="1505"/>
      <c r="D6" s="1505"/>
      <c r="E6" s="1505"/>
      <c r="F6" s="1506"/>
      <c r="G6" s="1448" t="str">
        <f>IF(ISERROR(VLOOKUP(H5,F182:M195,7,0))," ",(VLOOKUP(H5,F182:M195,7,0)))</f>
        <v xml:space="preserve"> </v>
      </c>
      <c r="H6" s="1448"/>
      <c r="I6" s="1448"/>
      <c r="J6" s="1448"/>
      <c r="K6" s="1448"/>
      <c r="L6" s="1448"/>
      <c r="M6" s="1448"/>
      <c r="N6" s="1448"/>
      <c r="O6" s="1448"/>
      <c r="P6" s="1448"/>
      <c r="Q6" s="1448"/>
      <c r="R6" s="1448"/>
      <c r="S6" s="1448"/>
      <c r="T6" s="1448"/>
      <c r="U6" s="1448"/>
      <c r="V6" s="1448"/>
      <c r="W6" s="1448"/>
      <c r="X6" s="1448"/>
      <c r="Y6" s="1448"/>
      <c r="Z6" s="1448"/>
      <c r="AA6" s="230"/>
      <c r="AB6" s="230"/>
      <c r="AC6" s="239"/>
      <c r="AD6" s="231"/>
      <c r="AE6" s="236"/>
      <c r="AF6" s="234"/>
      <c r="AG6" s="234"/>
      <c r="AH6" s="234"/>
      <c r="AI6" s="234"/>
      <c r="AJ6" s="234"/>
      <c r="AK6" s="234"/>
      <c r="AL6" s="234"/>
      <c r="AM6" s="234"/>
      <c r="AN6" s="234"/>
      <c r="AO6" s="234"/>
      <c r="AP6" s="234"/>
      <c r="AQ6" s="240"/>
      <c r="AR6" s="234"/>
      <c r="AS6" s="234"/>
      <c r="AT6" s="234"/>
      <c r="AU6" s="234"/>
    </row>
    <row r="7" spans="1:47" s="237" customFormat="1" ht="18" thickBot="1" x14ac:dyDescent="0.3">
      <c r="A7" s="1479" t="s">
        <v>6</v>
      </c>
      <c r="B7" s="1480"/>
      <c r="C7" s="1480"/>
      <c r="D7" s="1480"/>
      <c r="E7" s="1480"/>
      <c r="F7" s="1481"/>
      <c r="G7" s="1438" t="s">
        <v>236</v>
      </c>
      <c r="H7" s="1439"/>
      <c r="I7" s="1439"/>
      <c r="J7" s="1439"/>
      <c r="K7" s="1439"/>
      <c r="L7" s="1439"/>
      <c r="M7" s="1439"/>
      <c r="N7" s="1439"/>
      <c r="O7" s="1439"/>
      <c r="P7" s="1439"/>
      <c r="Q7" s="1439"/>
      <c r="R7" s="1439"/>
      <c r="S7" s="1439"/>
      <c r="T7" s="1439"/>
      <c r="U7" s="1440"/>
      <c r="V7" s="1527" t="s">
        <v>7</v>
      </c>
      <c r="W7" s="1480"/>
      <c r="X7" s="1480"/>
      <c r="Y7" s="1480"/>
      <c r="Z7" s="808">
        <f>SUM(Z11:Z15)</f>
        <v>0.41542918149995728</v>
      </c>
      <c r="AA7" s="230"/>
      <c r="AB7" s="230"/>
      <c r="AC7" s="230"/>
      <c r="AD7" s="230"/>
      <c r="AF7" s="230"/>
      <c r="AG7" s="230"/>
      <c r="AH7" s="230"/>
      <c r="AQ7" s="238"/>
    </row>
    <row r="8" spans="1:47" s="237" customFormat="1" ht="18" thickBot="1" x14ac:dyDescent="0.3">
      <c r="A8" s="1473" t="s">
        <v>8</v>
      </c>
      <c r="B8" s="1467" t="s">
        <v>9</v>
      </c>
      <c r="C8" s="1528" t="s">
        <v>10</v>
      </c>
      <c r="D8" s="1467" t="s">
        <v>289</v>
      </c>
      <c r="E8" s="1467" t="s">
        <v>285</v>
      </c>
      <c r="F8" s="1462" t="s">
        <v>253</v>
      </c>
      <c r="G8" s="1465" t="s">
        <v>228</v>
      </c>
      <c r="H8" s="1467" t="s">
        <v>11</v>
      </c>
      <c r="I8" s="1470" t="s">
        <v>12</v>
      </c>
      <c r="J8" s="1473" t="s">
        <v>13</v>
      </c>
      <c r="K8" s="1476" t="s">
        <v>14</v>
      </c>
      <c r="L8" s="1477"/>
      <c r="M8" s="1477"/>
      <c r="N8" s="1477"/>
      <c r="O8" s="1477"/>
      <c r="P8" s="1477"/>
      <c r="Q8" s="1477"/>
      <c r="R8" s="1477"/>
      <c r="S8" s="1477"/>
      <c r="T8" s="1477"/>
      <c r="U8" s="1477"/>
      <c r="V8" s="1477"/>
      <c r="W8" s="1477"/>
      <c r="X8" s="1477"/>
      <c r="Y8" s="1478"/>
      <c r="Z8" s="1529" t="s">
        <v>15</v>
      </c>
      <c r="AA8" s="1532" t="s">
        <v>16</v>
      </c>
      <c r="AB8" s="1489"/>
      <c r="AC8" s="1489"/>
      <c r="AD8" s="1500"/>
      <c r="AE8" s="1501" t="s">
        <v>17</v>
      </c>
      <c r="AF8" s="1455" t="s">
        <v>18</v>
      </c>
      <c r="AG8" s="1456"/>
      <c r="AH8" s="1457"/>
      <c r="AI8" s="1455" t="s">
        <v>19</v>
      </c>
      <c r="AJ8" s="1456"/>
      <c r="AK8" s="1457"/>
      <c r="AL8" s="1455" t="s">
        <v>20</v>
      </c>
      <c r="AM8" s="1456"/>
      <c r="AN8" s="1457"/>
      <c r="AO8" s="1455" t="s">
        <v>21</v>
      </c>
      <c r="AP8" s="1456"/>
      <c r="AQ8" s="1457"/>
      <c r="AR8" s="1566" t="s">
        <v>706</v>
      </c>
      <c r="AS8" s="1566" t="s">
        <v>718</v>
      </c>
    </row>
    <row r="9" spans="1:47" s="237" customFormat="1" ht="17.25" x14ac:dyDescent="0.25">
      <c r="A9" s="1484"/>
      <c r="B9" s="1468"/>
      <c r="C9" s="1487"/>
      <c r="D9" s="1468"/>
      <c r="E9" s="1468"/>
      <c r="F9" s="1463"/>
      <c r="G9" s="1466"/>
      <c r="H9" s="1468"/>
      <c r="I9" s="1471"/>
      <c r="J9" s="1484"/>
      <c r="K9" s="1488" t="s">
        <v>22</v>
      </c>
      <c r="L9" s="1489"/>
      <c r="M9" s="1490"/>
      <c r="N9" s="1461" t="s">
        <v>23</v>
      </c>
      <c r="O9" s="1491"/>
      <c r="P9" s="1492"/>
      <c r="Q9" s="1493" t="s">
        <v>24</v>
      </c>
      <c r="R9" s="1491"/>
      <c r="S9" s="1494"/>
      <c r="T9" s="1461" t="s">
        <v>25</v>
      </c>
      <c r="U9" s="1491"/>
      <c r="V9" s="1492"/>
      <c r="W9" s="1493" t="s">
        <v>26</v>
      </c>
      <c r="X9" s="1491"/>
      <c r="Y9" s="1494"/>
      <c r="Z9" s="1530"/>
      <c r="AA9" s="1519" t="s">
        <v>27</v>
      </c>
      <c r="AB9" s="1492" t="s">
        <v>28</v>
      </c>
      <c r="AC9" s="1461"/>
      <c r="AD9" s="1496" t="s">
        <v>29</v>
      </c>
      <c r="AE9" s="1502"/>
      <c r="AF9" s="1460" t="s">
        <v>30</v>
      </c>
      <c r="AG9" s="1461"/>
      <c r="AH9" s="1458" t="s">
        <v>31</v>
      </c>
      <c r="AI9" s="1460" t="s">
        <v>30</v>
      </c>
      <c r="AJ9" s="1461"/>
      <c r="AK9" s="1458" t="s">
        <v>31</v>
      </c>
      <c r="AL9" s="1460" t="s">
        <v>30</v>
      </c>
      <c r="AM9" s="1461"/>
      <c r="AN9" s="1458" t="s">
        <v>31</v>
      </c>
      <c r="AO9" s="1460" t="s">
        <v>30</v>
      </c>
      <c r="AP9" s="1461"/>
      <c r="AQ9" s="1458" t="s">
        <v>31</v>
      </c>
      <c r="AR9" s="1567"/>
      <c r="AS9" s="1567"/>
    </row>
    <row r="10" spans="1:47" s="237" customFormat="1" ht="18" thickBot="1" x14ac:dyDescent="0.3">
      <c r="A10" s="1485"/>
      <c r="B10" s="1469"/>
      <c r="C10" s="1487"/>
      <c r="D10" s="1469"/>
      <c r="E10" s="1469"/>
      <c r="F10" s="1464"/>
      <c r="G10" s="1466"/>
      <c r="H10" s="1469"/>
      <c r="I10" s="1472"/>
      <c r="J10" s="1485"/>
      <c r="K10" s="345" t="s">
        <v>32</v>
      </c>
      <c r="L10" s="265" t="s">
        <v>33</v>
      </c>
      <c r="M10" s="406" t="s">
        <v>34</v>
      </c>
      <c r="N10" s="316" t="s">
        <v>32</v>
      </c>
      <c r="O10" s="265" t="s">
        <v>33</v>
      </c>
      <c r="P10" s="407" t="s">
        <v>34</v>
      </c>
      <c r="Q10" s="345" t="s">
        <v>32</v>
      </c>
      <c r="R10" s="265" t="s">
        <v>33</v>
      </c>
      <c r="S10" s="406" t="s">
        <v>34</v>
      </c>
      <c r="T10" s="316" t="s">
        <v>32</v>
      </c>
      <c r="U10" s="265" t="s">
        <v>33</v>
      </c>
      <c r="V10" s="407" t="s">
        <v>34</v>
      </c>
      <c r="W10" s="345" t="s">
        <v>35</v>
      </c>
      <c r="X10" s="265" t="s">
        <v>36</v>
      </c>
      <c r="Y10" s="355" t="s">
        <v>34</v>
      </c>
      <c r="Z10" s="1531"/>
      <c r="AA10" s="1519"/>
      <c r="AB10" s="265" t="s">
        <v>37</v>
      </c>
      <c r="AC10" s="265" t="s">
        <v>38</v>
      </c>
      <c r="AD10" s="1496"/>
      <c r="AE10" s="1503"/>
      <c r="AF10" s="345" t="s">
        <v>37</v>
      </c>
      <c r="AG10" s="265" t="s">
        <v>38</v>
      </c>
      <c r="AH10" s="1458"/>
      <c r="AI10" s="345" t="s">
        <v>37</v>
      </c>
      <c r="AJ10" s="265" t="s">
        <v>38</v>
      </c>
      <c r="AK10" s="1458"/>
      <c r="AL10" s="345" t="s">
        <v>37</v>
      </c>
      <c r="AM10" s="265" t="s">
        <v>38</v>
      </c>
      <c r="AN10" s="1458"/>
      <c r="AO10" s="345" t="s">
        <v>37</v>
      </c>
      <c r="AP10" s="265" t="s">
        <v>38</v>
      </c>
      <c r="AQ10" s="1458"/>
      <c r="AR10" s="1568"/>
      <c r="AS10" s="1568"/>
    </row>
    <row r="11" spans="1:47" s="903" customFormat="1" ht="60" x14ac:dyDescent="0.2">
      <c r="A11" s="1533" t="s">
        <v>211</v>
      </c>
      <c r="B11" s="1535">
        <v>1</v>
      </c>
      <c r="C11" s="1535" t="s">
        <v>663</v>
      </c>
      <c r="D11" s="1537">
        <v>0.08</v>
      </c>
      <c r="E11" s="888" t="s">
        <v>286</v>
      </c>
      <c r="F11" s="889" t="s">
        <v>702</v>
      </c>
      <c r="G11" s="888">
        <v>21</v>
      </c>
      <c r="H11" s="890">
        <v>0.2</v>
      </c>
      <c r="I11" s="890" t="s">
        <v>42</v>
      </c>
      <c r="J11" s="891" t="s">
        <v>40</v>
      </c>
      <c r="K11" s="1181">
        <v>3</v>
      </c>
      <c r="L11" s="893">
        <f t="shared" ref="L11:L28" si="0">IF(I11="Cantidad",AF11,IF(ISERROR(AF11/AG11),0,AF11/AG11))</f>
        <v>3</v>
      </c>
      <c r="M11" s="1187">
        <f t="shared" ref="M11:M24" si="1">IF(ISERROR(L11/K11),0,(L11/K11))</f>
        <v>1</v>
      </c>
      <c r="N11" s="893">
        <f>+AJ11</f>
        <v>18</v>
      </c>
      <c r="O11" s="893">
        <f>IF(I11="Cantidad",AI11,IF(ISERROR(AI11/AJ11),0,AI11/AJ11))</f>
        <v>10</v>
      </c>
      <c r="P11" s="894">
        <f>IF(ISERROR(O11/N11),0,(O11/N11))</f>
        <v>0.55555555555555558</v>
      </c>
      <c r="Q11" s="893">
        <f>+AM11</f>
        <v>2</v>
      </c>
      <c r="R11" s="893">
        <f>IF(I11="Cantidad",AL11,IF(ISERROR(AL11/AM11),0,AL11/AM11))</f>
        <v>3</v>
      </c>
      <c r="S11" s="894">
        <f t="shared" ref="S11:S24" si="2">IF(ISERROR(R11/Q11),0,(R11/Q11))</f>
        <v>1.5</v>
      </c>
      <c r="T11" s="893">
        <f>+AP11</f>
        <v>2</v>
      </c>
      <c r="U11" s="893">
        <f>IF(I11="Cantidad",AO11,IF(ISERROR(AO11/AP11),0,AO11/AP11))</f>
        <v>0</v>
      </c>
      <c r="V11" s="894">
        <f t="shared" ref="V11:V24" si="3">IF(ISERROR(U11/T11),0,(U11/T11))</f>
        <v>0</v>
      </c>
      <c r="W11" s="893">
        <f t="shared" ref="W11:W21" si="4">IF(J11="SUMA",(K11+N11+Q11+T11),(K11))</f>
        <v>25</v>
      </c>
      <c r="X11" s="893">
        <f>+L11+O11+R11+U11</f>
        <v>16</v>
      </c>
      <c r="Y11" s="895">
        <f>IF(ISERROR(X11/W11),0,(X11/W11))</f>
        <v>0.64</v>
      </c>
      <c r="Z11" s="896">
        <f t="shared" ref="Z11:Z39" si="5">+Y11*H11</f>
        <v>0.128</v>
      </c>
      <c r="AA11" s="897" t="s">
        <v>443</v>
      </c>
      <c r="AB11" s="888" t="s">
        <v>314</v>
      </c>
      <c r="AC11" s="888" t="s">
        <v>428</v>
      </c>
      <c r="AD11" s="898" t="s">
        <v>43</v>
      </c>
      <c r="AE11" s="899" t="s">
        <v>320</v>
      </c>
      <c r="AF11" s="892">
        <f>+'PE02, PA01, PA03, PA04, PA05'!AG11</f>
        <v>3</v>
      </c>
      <c r="AG11" s="893">
        <f>+'PE02, PA01, PA03, PA04, PA05'!AH11</f>
        <v>3</v>
      </c>
      <c r="AH11" s="1310" t="s">
        <v>665</v>
      </c>
      <c r="AI11" s="900">
        <f>'PE02, PA01, PA03, PA04, PA05'!AJ11</f>
        <v>10</v>
      </c>
      <c r="AJ11" s="901">
        <f>6+3+9</f>
        <v>18</v>
      </c>
      <c r="AK11" s="1239"/>
      <c r="AL11" s="1235">
        <v>3</v>
      </c>
      <c r="AM11" s="901">
        <v>2</v>
      </c>
      <c r="AN11" s="902"/>
      <c r="AO11" s="900"/>
      <c r="AP11" s="901">
        <v>2</v>
      </c>
      <c r="AQ11" s="902"/>
      <c r="AR11" s="1539" t="s">
        <v>707</v>
      </c>
      <c r="AS11" s="1541">
        <f>SUM(Z11:Z15)</f>
        <v>0.41542918149995728</v>
      </c>
    </row>
    <row r="12" spans="1:47" s="903" customFormat="1" ht="45" x14ac:dyDescent="0.2">
      <c r="A12" s="1545"/>
      <c r="B12" s="1546"/>
      <c r="C12" s="1546"/>
      <c r="D12" s="1547"/>
      <c r="E12" s="904" t="s">
        <v>288</v>
      </c>
      <c r="F12" s="905" t="s">
        <v>703</v>
      </c>
      <c r="G12" s="904">
        <v>14</v>
      </c>
      <c r="H12" s="906">
        <v>0.2</v>
      </c>
      <c r="I12" s="906" t="s">
        <v>42</v>
      </c>
      <c r="J12" s="907" t="s">
        <v>40</v>
      </c>
      <c r="K12" s="1185">
        <v>2</v>
      </c>
      <c r="L12" s="909">
        <f t="shared" si="0"/>
        <v>2</v>
      </c>
      <c r="M12" s="1188">
        <f t="shared" si="1"/>
        <v>1</v>
      </c>
      <c r="N12" s="909">
        <f>+AJ12</f>
        <v>6</v>
      </c>
      <c r="O12" s="909">
        <f t="shared" ref="O12:O74" si="6">IF(I12="Cantidad",AI12,IF(ISERROR(AI12/AJ12),0,AI12/AJ12))</f>
        <v>4</v>
      </c>
      <c r="P12" s="910">
        <f>IF(ISERROR(O12/N12),0,(O12/N12))</f>
        <v>0.66666666666666663</v>
      </c>
      <c r="Q12" s="909">
        <f>+AM12</f>
        <v>3</v>
      </c>
      <c r="R12" s="909">
        <f t="shared" ref="R12:R74" si="7">IF(I12="Cantidad",AL12,IF(ISERROR(AL12/AM12),0,AL12/AM12))</f>
        <v>3</v>
      </c>
      <c r="S12" s="910">
        <f t="shared" si="2"/>
        <v>1</v>
      </c>
      <c r="T12" s="909">
        <f>+AP12</f>
        <v>6</v>
      </c>
      <c r="U12" s="909">
        <f t="shared" ref="U12:U74" si="8">IF(I12="Cantidad",AO12,IF(ISERROR(AO12/AP12),0,AO12/AP12))</f>
        <v>0</v>
      </c>
      <c r="V12" s="910">
        <f t="shared" si="3"/>
        <v>0</v>
      </c>
      <c r="W12" s="909">
        <f t="shared" si="4"/>
        <v>17</v>
      </c>
      <c r="X12" s="909">
        <f t="shared" ref="X12" si="9">IF(ISERROR(AVERAGE(L12,O12,R12,U12)),0,IF(J12="Suma",(L12+O12+R12+U12),AVERAGE(L12,O12,R12,U12)))</f>
        <v>9</v>
      </c>
      <c r="Y12" s="911">
        <f t="shared" ref="Y12:Y39" si="10">IF(ISERROR(X12/W12),0,(X12/W12))</f>
        <v>0.52941176470588236</v>
      </c>
      <c r="Z12" s="912">
        <f t="shared" si="5"/>
        <v>0.10588235294117648</v>
      </c>
      <c r="AA12" s="913" t="s">
        <v>442</v>
      </c>
      <c r="AB12" s="904" t="s">
        <v>314</v>
      </c>
      <c r="AC12" s="904" t="s">
        <v>428</v>
      </c>
      <c r="AD12" s="914" t="s">
        <v>43</v>
      </c>
      <c r="AE12" s="915" t="s">
        <v>321</v>
      </c>
      <c r="AF12" s="908">
        <f>+'PE02, PA01, PA03, PA04, PA05'!AG12</f>
        <v>2</v>
      </c>
      <c r="AG12" s="909">
        <f>+'PE02, PA01, PA03, PA04, PA05'!AH12</f>
        <v>2</v>
      </c>
      <c r="AH12" s="1299"/>
      <c r="AI12" s="917">
        <f>'PE02, PA01, PA03, PA04, PA05'!AJ12</f>
        <v>4</v>
      </c>
      <c r="AJ12" s="918">
        <v>6</v>
      </c>
      <c r="AK12" s="1238"/>
      <c r="AL12" s="1236">
        <v>3</v>
      </c>
      <c r="AM12" s="918">
        <v>3</v>
      </c>
      <c r="AN12" s="919"/>
      <c r="AO12" s="917"/>
      <c r="AP12" s="918">
        <v>6</v>
      </c>
      <c r="AQ12" s="919"/>
      <c r="AR12" s="1543"/>
      <c r="AS12" s="1544"/>
    </row>
    <row r="13" spans="1:47" s="903" customFormat="1" ht="30" x14ac:dyDescent="0.2">
      <c r="A13" s="1545"/>
      <c r="B13" s="1546"/>
      <c r="C13" s="1546"/>
      <c r="D13" s="1547"/>
      <c r="E13" s="920">
        <v>1.3</v>
      </c>
      <c r="F13" s="905" t="s">
        <v>667</v>
      </c>
      <c r="G13" s="921">
        <v>8.5000000000000006E-2</v>
      </c>
      <c r="H13" s="906">
        <v>0.2</v>
      </c>
      <c r="I13" s="906" t="s">
        <v>39</v>
      </c>
      <c r="J13" s="907" t="s">
        <v>106</v>
      </c>
      <c r="K13" s="922">
        <v>0.03</v>
      </c>
      <c r="L13" s="1186">
        <f t="shared" si="0"/>
        <v>1.2552301255230125E-2</v>
      </c>
      <c r="M13" s="1188">
        <v>1</v>
      </c>
      <c r="N13" s="1188">
        <v>0.03</v>
      </c>
      <c r="O13" s="1232">
        <f t="shared" si="6"/>
        <v>1.0101010101010102E-2</v>
      </c>
      <c r="P13" s="910">
        <f t="shared" ref="P13:P24" si="11">IF(ISERROR(O13/N13),0,(O13/N13))</f>
        <v>0.33670033670033672</v>
      </c>
      <c r="Q13" s="1188">
        <v>0.03</v>
      </c>
      <c r="R13" s="909">
        <f t="shared" si="7"/>
        <v>0</v>
      </c>
      <c r="S13" s="910">
        <f t="shared" si="2"/>
        <v>0</v>
      </c>
      <c r="T13" s="1188">
        <v>0.03</v>
      </c>
      <c r="U13" s="909">
        <f t="shared" si="8"/>
        <v>0</v>
      </c>
      <c r="V13" s="910">
        <f t="shared" si="3"/>
        <v>0</v>
      </c>
      <c r="W13" s="909">
        <f t="shared" si="4"/>
        <v>0.03</v>
      </c>
      <c r="X13" s="1188">
        <v>0.01</v>
      </c>
      <c r="Y13" s="911">
        <f t="shared" si="10"/>
        <v>0.33333333333333337</v>
      </c>
      <c r="Z13" s="912">
        <f t="shared" si="5"/>
        <v>6.666666666666668E-2</v>
      </c>
      <c r="AA13" s="913" t="s">
        <v>669</v>
      </c>
      <c r="AB13" s="904" t="s">
        <v>672</v>
      </c>
      <c r="AC13" s="904" t="s">
        <v>671</v>
      </c>
      <c r="AD13" s="914" t="s">
        <v>43</v>
      </c>
      <c r="AE13" s="915" t="s">
        <v>670</v>
      </c>
      <c r="AF13" s="908">
        <f>+'PE02, PA01, PA03, PA04, PA05'!AG13</f>
        <v>3</v>
      </c>
      <c r="AG13" s="909">
        <f>+'PE02, PA01, PA03, PA04, PA05'!AH13</f>
        <v>239</v>
      </c>
      <c r="AH13" s="1299"/>
      <c r="AI13" s="917">
        <f>'PE02, PA01, PA03, PA04, PA05'!AJ13</f>
        <v>3</v>
      </c>
      <c r="AJ13" s="918">
        <v>297</v>
      </c>
      <c r="AK13" s="1238"/>
      <c r="AL13" s="1236">
        <v>17</v>
      </c>
      <c r="AM13" s="918"/>
      <c r="AN13" s="919"/>
      <c r="AO13" s="917"/>
      <c r="AP13" s="918"/>
      <c r="AQ13" s="919"/>
      <c r="AR13" s="1543"/>
      <c r="AS13" s="1544"/>
    </row>
    <row r="14" spans="1:47" s="903" customFormat="1" ht="45" x14ac:dyDescent="0.2">
      <c r="A14" s="1545"/>
      <c r="B14" s="1546"/>
      <c r="C14" s="1546"/>
      <c r="D14" s="1547"/>
      <c r="E14" s="920">
        <v>1.4</v>
      </c>
      <c r="F14" s="905" t="s">
        <v>704</v>
      </c>
      <c r="G14" s="906">
        <v>0.44</v>
      </c>
      <c r="H14" s="906">
        <v>0.2</v>
      </c>
      <c r="I14" s="906" t="s">
        <v>42</v>
      </c>
      <c r="J14" s="907" t="s">
        <v>40</v>
      </c>
      <c r="K14" s="924">
        <v>25</v>
      </c>
      <c r="L14" s="925">
        <f t="shared" si="0"/>
        <v>10</v>
      </c>
      <c r="M14" s="1188">
        <f t="shared" si="1"/>
        <v>0.4</v>
      </c>
      <c r="N14" s="909">
        <f>7+5+6</f>
        <v>18</v>
      </c>
      <c r="O14" s="909">
        <f t="shared" si="6"/>
        <v>8</v>
      </c>
      <c r="P14" s="910">
        <f t="shared" si="11"/>
        <v>0.44444444444444442</v>
      </c>
      <c r="Q14" s="909">
        <f>1+1+5</f>
        <v>7</v>
      </c>
      <c r="R14" s="909">
        <f t="shared" si="7"/>
        <v>1</v>
      </c>
      <c r="S14" s="910">
        <f t="shared" si="2"/>
        <v>0.14285714285714285</v>
      </c>
      <c r="T14" s="909">
        <f>5+1+7</f>
        <v>13</v>
      </c>
      <c r="U14" s="909">
        <f t="shared" si="8"/>
        <v>0</v>
      </c>
      <c r="V14" s="910">
        <f t="shared" si="3"/>
        <v>0</v>
      </c>
      <c r="W14" s="909">
        <f t="shared" si="4"/>
        <v>63</v>
      </c>
      <c r="X14" s="909">
        <f>+L14</f>
        <v>10</v>
      </c>
      <c r="Y14" s="926">
        <f t="shared" si="10"/>
        <v>0.15873015873015872</v>
      </c>
      <c r="Z14" s="912">
        <f t="shared" si="5"/>
        <v>3.1746031746031744E-2</v>
      </c>
      <c r="AA14" s="913" t="s">
        <v>673</v>
      </c>
      <c r="AB14" s="904" t="s">
        <v>674</v>
      </c>
      <c r="AC14" s="904" t="s">
        <v>675</v>
      </c>
      <c r="AD14" s="914" t="s">
        <v>43</v>
      </c>
      <c r="AE14" s="915" t="s">
        <v>670</v>
      </c>
      <c r="AF14" s="908">
        <f>+'PE02, PA01, PA03, PA04, PA05'!AG14</f>
        <v>10</v>
      </c>
      <c r="AG14" s="909">
        <f>+'PE02, PA01, PA03, PA04, PA05'!AH14</f>
        <v>25</v>
      </c>
      <c r="AH14" s="1299" t="s">
        <v>666</v>
      </c>
      <c r="AI14" s="917">
        <f>'PE02, PA01, PA03, PA04, PA05'!AJ14</f>
        <v>8</v>
      </c>
      <c r="AJ14" s="918">
        <v>18</v>
      </c>
      <c r="AK14" s="1238"/>
      <c r="AL14" s="1236">
        <v>1</v>
      </c>
      <c r="AM14" s="918">
        <v>7</v>
      </c>
      <c r="AN14" s="919"/>
      <c r="AO14" s="917"/>
      <c r="AP14" s="918">
        <v>13</v>
      </c>
      <c r="AQ14" s="919"/>
      <c r="AR14" s="1543"/>
      <c r="AS14" s="1544"/>
    </row>
    <row r="15" spans="1:47" s="903" customFormat="1" ht="81" customHeight="1" thickBot="1" x14ac:dyDescent="0.25">
      <c r="A15" s="1534"/>
      <c r="B15" s="1536"/>
      <c r="C15" s="1536"/>
      <c r="D15" s="1538"/>
      <c r="E15" s="927">
        <v>1.5</v>
      </c>
      <c r="F15" s="928" t="s">
        <v>662</v>
      </c>
      <c r="G15" s="929">
        <v>0.48</v>
      </c>
      <c r="H15" s="929">
        <v>0.2</v>
      </c>
      <c r="I15" s="929" t="s">
        <v>39</v>
      </c>
      <c r="J15" s="930" t="s">
        <v>40</v>
      </c>
      <c r="K15" s="1275">
        <v>0.76500000000000001</v>
      </c>
      <c r="L15" s="1194">
        <f t="shared" si="0"/>
        <v>0.76500000000000001</v>
      </c>
      <c r="M15" s="1192">
        <f t="shared" si="1"/>
        <v>1</v>
      </c>
      <c r="N15" s="1231">
        <v>1</v>
      </c>
      <c r="O15" s="1231">
        <f t="shared" si="6"/>
        <v>0.8</v>
      </c>
      <c r="P15" s="1045">
        <f t="shared" si="11"/>
        <v>0.8</v>
      </c>
      <c r="Q15" s="1231">
        <v>1</v>
      </c>
      <c r="R15" s="1231">
        <f t="shared" si="7"/>
        <v>0</v>
      </c>
      <c r="S15" s="1045">
        <f t="shared" si="2"/>
        <v>0</v>
      </c>
      <c r="T15" s="1231">
        <v>1</v>
      </c>
      <c r="U15" s="1231">
        <f t="shared" si="8"/>
        <v>0</v>
      </c>
      <c r="V15" s="1045">
        <f t="shared" si="3"/>
        <v>0</v>
      </c>
      <c r="W15" s="941">
        <f t="shared" si="4"/>
        <v>3.7650000000000001</v>
      </c>
      <c r="X15" s="941">
        <f t="shared" ref="X15:X39" si="12">IF(ISERROR(AVERAGE(L15,O15,R15,U15)),0,IF(J15="Suma",(L15+O15+R15+U15),AVERAGE(L15,O15,R15,U15)))</f>
        <v>1.5649999999999999</v>
      </c>
      <c r="Y15" s="1102">
        <f t="shared" si="10"/>
        <v>0.41567065073041165</v>
      </c>
      <c r="Z15" s="936">
        <f t="shared" si="5"/>
        <v>8.3134130146082341E-2</v>
      </c>
      <c r="AA15" s="937" t="s">
        <v>738</v>
      </c>
      <c r="AB15" s="938" t="s">
        <v>430</v>
      </c>
      <c r="AC15" s="933" t="s">
        <v>429</v>
      </c>
      <c r="AD15" s="938" t="s">
        <v>43</v>
      </c>
      <c r="AE15" s="939" t="s">
        <v>427</v>
      </c>
      <c r="AF15" s="940">
        <f>+'PE02, PA01, PA03, PA04, PA05'!AG15</f>
        <v>76.5</v>
      </c>
      <c r="AG15" s="941">
        <f>+'PE02, PA01, PA03, PA04, PA05'!AH15</f>
        <v>100</v>
      </c>
      <c r="AH15" s="1311"/>
      <c r="AI15" s="1315">
        <f>'PE02, PA01, PA03, PA04, PA05'!AJ15</f>
        <v>80</v>
      </c>
      <c r="AJ15" s="1316">
        <v>100</v>
      </c>
      <c r="AK15" s="1319"/>
      <c r="AL15" s="1237">
        <v>80</v>
      </c>
      <c r="AM15" s="943"/>
      <c r="AN15" s="944"/>
      <c r="AO15" s="942"/>
      <c r="AP15" s="943"/>
      <c r="AQ15" s="944"/>
      <c r="AR15" s="1540"/>
      <c r="AS15" s="1542"/>
    </row>
    <row r="16" spans="1:47" s="903" customFormat="1" ht="30" x14ac:dyDescent="0.2">
      <c r="A16" s="1533" t="s">
        <v>598</v>
      </c>
      <c r="B16" s="1535">
        <v>2</v>
      </c>
      <c r="C16" s="1535" t="s">
        <v>663</v>
      </c>
      <c r="D16" s="1537">
        <v>9.4799999999999995E-2</v>
      </c>
      <c r="E16" s="888" t="s">
        <v>276</v>
      </c>
      <c r="F16" s="893" t="s">
        <v>657</v>
      </c>
      <c r="G16" s="890">
        <v>0.93</v>
      </c>
      <c r="H16" s="890">
        <v>0.2</v>
      </c>
      <c r="I16" s="890" t="s">
        <v>39</v>
      </c>
      <c r="J16" s="1017" t="s">
        <v>40</v>
      </c>
      <c r="K16" s="945">
        <v>0.25</v>
      </c>
      <c r="L16" s="1183">
        <f t="shared" si="0"/>
        <v>0.31744735352809067</v>
      </c>
      <c r="M16" s="1187">
        <f t="shared" si="1"/>
        <v>1.2697894141123627</v>
      </c>
      <c r="N16" s="1187">
        <v>0.25</v>
      </c>
      <c r="O16" s="1229">
        <f t="shared" si="6"/>
        <v>0.14046014370404827</v>
      </c>
      <c r="P16" s="894">
        <f t="shared" si="11"/>
        <v>0.56184057481619309</v>
      </c>
      <c r="Q16" s="1187">
        <v>0.25</v>
      </c>
      <c r="R16" s="893">
        <f t="shared" si="7"/>
        <v>0.40102933052406942</v>
      </c>
      <c r="S16" s="894">
        <f t="shared" si="2"/>
        <v>1.6041173220962777</v>
      </c>
      <c r="T16" s="1187">
        <v>0.25</v>
      </c>
      <c r="U16" s="893">
        <f t="shared" si="8"/>
        <v>0</v>
      </c>
      <c r="V16" s="894">
        <f t="shared" si="3"/>
        <v>0</v>
      </c>
      <c r="W16" s="1183">
        <f t="shared" si="4"/>
        <v>1</v>
      </c>
      <c r="X16" s="1183">
        <f t="shared" si="12"/>
        <v>0.85893682775620839</v>
      </c>
      <c r="Y16" s="947">
        <f t="shared" si="10"/>
        <v>0.85893682775620839</v>
      </c>
      <c r="Z16" s="1219">
        <f t="shared" si="5"/>
        <v>0.17178736555124169</v>
      </c>
      <c r="AA16" s="897" t="s">
        <v>676</v>
      </c>
      <c r="AB16" s="888" t="s">
        <v>701</v>
      </c>
      <c r="AC16" s="888" t="s">
        <v>678</v>
      </c>
      <c r="AD16" s="898" t="s">
        <v>43</v>
      </c>
      <c r="AE16" s="948" t="s">
        <v>677</v>
      </c>
      <c r="AF16" s="949">
        <f>+'PE02, PA01, PA03, PA04, PA05'!AG16</f>
        <v>7869257365</v>
      </c>
      <c r="AG16" s="950">
        <f>+'PE02, PA01, PA03, PA04, PA05'!AH16</f>
        <v>24789173000</v>
      </c>
      <c r="AH16" s="1297"/>
      <c r="AI16" s="949">
        <f>+'PE02, PA01, PA03, PA04, PA05'!AJ16</f>
        <v>3453658313</v>
      </c>
      <c r="AJ16" s="950">
        <f>+'PE02, PA01, PA03, PA04, PA05'!AK16</f>
        <v>24588173000</v>
      </c>
      <c r="AK16" s="1318"/>
      <c r="AL16" s="1302">
        <v>9860578557</v>
      </c>
      <c r="AM16" s="952">
        <v>24588173000</v>
      </c>
      <c r="AN16" s="902"/>
      <c r="AO16" s="951"/>
      <c r="AP16" s="952">
        <f>+AM16</f>
        <v>24588173000</v>
      </c>
      <c r="AQ16" s="902"/>
      <c r="AR16" s="1539" t="s">
        <v>708</v>
      </c>
      <c r="AS16" s="1541">
        <f>SUM(Z16:Z21)</f>
        <v>0.98338655143990161</v>
      </c>
    </row>
    <row r="17" spans="1:45" s="903" customFormat="1" ht="45" x14ac:dyDescent="0.2">
      <c r="A17" s="1545"/>
      <c r="B17" s="1546"/>
      <c r="C17" s="1546"/>
      <c r="D17" s="1547"/>
      <c r="E17" s="920">
        <v>2.2000000000000002</v>
      </c>
      <c r="F17" s="909" t="s">
        <v>658</v>
      </c>
      <c r="G17" s="906">
        <v>0.83</v>
      </c>
      <c r="H17" s="906">
        <v>0.1</v>
      </c>
      <c r="I17" s="906" t="s">
        <v>39</v>
      </c>
      <c r="J17" s="1024" t="s">
        <v>40</v>
      </c>
      <c r="K17" s="953">
        <v>0.25</v>
      </c>
      <c r="L17" s="1186">
        <f t="shared" si="0"/>
        <v>0.28914947623879483</v>
      </c>
      <c r="M17" s="1188">
        <f t="shared" si="1"/>
        <v>1.1565979049551793</v>
      </c>
      <c r="N17" s="1188">
        <v>0.25</v>
      </c>
      <c r="O17" s="1232">
        <f t="shared" si="6"/>
        <v>0.19780827624473341</v>
      </c>
      <c r="P17" s="910">
        <f t="shared" si="11"/>
        <v>0.79123310497893362</v>
      </c>
      <c r="Q17" s="1188">
        <v>0.25</v>
      </c>
      <c r="R17" s="909">
        <f t="shared" si="7"/>
        <v>0.16268302793895448</v>
      </c>
      <c r="S17" s="910">
        <f t="shared" si="2"/>
        <v>0.65073211175581791</v>
      </c>
      <c r="T17" s="1188">
        <v>0.25</v>
      </c>
      <c r="U17" s="909">
        <f t="shared" si="8"/>
        <v>0</v>
      </c>
      <c r="V17" s="910">
        <f t="shared" si="3"/>
        <v>0</v>
      </c>
      <c r="W17" s="1186">
        <f t="shared" si="4"/>
        <v>1</v>
      </c>
      <c r="X17" s="1186">
        <f t="shared" si="12"/>
        <v>0.64964078042248274</v>
      </c>
      <c r="Y17" s="926">
        <f t="shared" si="10"/>
        <v>0.64964078042248274</v>
      </c>
      <c r="Z17" s="1220">
        <f t="shared" si="5"/>
        <v>6.4964078042248283E-2</v>
      </c>
      <c r="AA17" s="913" t="s">
        <v>682</v>
      </c>
      <c r="AB17" s="904" t="s">
        <v>701</v>
      </c>
      <c r="AC17" s="904" t="s">
        <v>678</v>
      </c>
      <c r="AD17" s="914" t="s">
        <v>43</v>
      </c>
      <c r="AE17" s="954" t="s">
        <v>677</v>
      </c>
      <c r="AF17" s="949">
        <f>+'PE02, PA01, PA03, PA04, PA05'!AG17</f>
        <v>1651360128</v>
      </c>
      <c r="AG17" s="950">
        <f>+'PE02, PA01, PA03, PA04, PA05'!AH17</f>
        <v>5711095000</v>
      </c>
      <c r="AH17" s="1298"/>
      <c r="AI17" s="958">
        <f>+'PE02, PA01, PA03, PA04, PA05'!AJ17</f>
        <v>1126536925</v>
      </c>
      <c r="AJ17" s="959">
        <f>+'PE02, PA01, PA03, PA04, PA05'!AK17</f>
        <v>5695095000</v>
      </c>
      <c r="AK17" s="1238"/>
      <c r="AL17" s="1303">
        <v>926495299</v>
      </c>
      <c r="AM17" s="959">
        <v>5695095000</v>
      </c>
      <c r="AN17" s="919"/>
      <c r="AO17" s="917"/>
      <c r="AP17" s="955">
        <f>+AM17</f>
        <v>5695095000</v>
      </c>
      <c r="AQ17" s="919"/>
      <c r="AR17" s="1543"/>
      <c r="AS17" s="1544"/>
    </row>
    <row r="18" spans="1:45" s="903" customFormat="1" ht="30" x14ac:dyDescent="0.2">
      <c r="A18" s="1545"/>
      <c r="B18" s="1546"/>
      <c r="C18" s="1546"/>
      <c r="D18" s="1547"/>
      <c r="E18" s="920">
        <v>2.2999999999999998</v>
      </c>
      <c r="F18" s="909" t="s">
        <v>659</v>
      </c>
      <c r="G18" s="906">
        <v>0.94</v>
      </c>
      <c r="H18" s="906">
        <v>0.1</v>
      </c>
      <c r="I18" s="906" t="s">
        <v>39</v>
      </c>
      <c r="J18" s="1024" t="s">
        <v>40</v>
      </c>
      <c r="K18" s="953">
        <v>0.25</v>
      </c>
      <c r="L18" s="1186">
        <f t="shared" si="0"/>
        <v>0.32624613631028271</v>
      </c>
      <c r="M18" s="1188">
        <f t="shared" si="1"/>
        <v>1.3049845452411308</v>
      </c>
      <c r="N18" s="1188">
        <v>0.25</v>
      </c>
      <c r="O18" s="1232">
        <f t="shared" si="6"/>
        <v>0.21060768203042404</v>
      </c>
      <c r="P18" s="910">
        <f t="shared" si="11"/>
        <v>0.84243072812169617</v>
      </c>
      <c r="Q18" s="1188">
        <v>0.25</v>
      </c>
      <c r="R18" s="909">
        <f t="shared" si="7"/>
        <v>0.38439740766433084</v>
      </c>
      <c r="S18" s="910">
        <f t="shared" si="2"/>
        <v>1.5375896306573233</v>
      </c>
      <c r="T18" s="1188">
        <v>0.25</v>
      </c>
      <c r="U18" s="909">
        <f t="shared" si="8"/>
        <v>0</v>
      </c>
      <c r="V18" s="910">
        <f t="shared" si="3"/>
        <v>0</v>
      </c>
      <c r="W18" s="1186">
        <f t="shared" si="4"/>
        <v>1</v>
      </c>
      <c r="X18" s="1186">
        <f t="shared" si="12"/>
        <v>0.92125122600503762</v>
      </c>
      <c r="Y18" s="926">
        <f t="shared" si="10"/>
        <v>0.92125122600503762</v>
      </c>
      <c r="Z18" s="1220">
        <f t="shared" si="5"/>
        <v>9.2125122600503762E-2</v>
      </c>
      <c r="AA18" s="913" t="s">
        <v>681</v>
      </c>
      <c r="AB18" s="904" t="s">
        <v>701</v>
      </c>
      <c r="AC18" s="904" t="s">
        <v>678</v>
      </c>
      <c r="AD18" s="914" t="s">
        <v>43</v>
      </c>
      <c r="AE18" s="954" t="s">
        <v>677</v>
      </c>
      <c r="AF18" s="949">
        <f>+'PE02, PA01, PA03, PA04, PA05'!AG18</f>
        <v>6217624313</v>
      </c>
      <c r="AG18" s="950">
        <f>+'PE02, PA01, PA03, PA04, PA05'!AH18</f>
        <v>19058078000</v>
      </c>
      <c r="AH18" s="1299"/>
      <c r="AI18" s="958">
        <f>+'PE02, PA01, PA03, PA04, PA05'!AJ18</f>
        <v>3979027364</v>
      </c>
      <c r="AJ18" s="959">
        <f>+'PE02, PA01, PA03, PA04, PA05'!AK18</f>
        <v>18893078000</v>
      </c>
      <c r="AK18" s="1238"/>
      <c r="AL18" s="1303">
        <v>7262450206</v>
      </c>
      <c r="AM18" s="959">
        <v>18893078000</v>
      </c>
      <c r="AN18" s="919"/>
      <c r="AO18" s="917"/>
      <c r="AP18" s="955">
        <f>+AM18</f>
        <v>18893078000</v>
      </c>
      <c r="AQ18" s="919"/>
      <c r="AR18" s="1543"/>
      <c r="AS18" s="1544"/>
    </row>
    <row r="19" spans="1:45" s="903" customFormat="1" ht="30" x14ac:dyDescent="0.2">
      <c r="A19" s="1545"/>
      <c r="B19" s="1546"/>
      <c r="C19" s="1546"/>
      <c r="D19" s="1547"/>
      <c r="E19" s="920">
        <v>2.4</v>
      </c>
      <c r="F19" s="909" t="s">
        <v>660</v>
      </c>
      <c r="G19" s="906">
        <v>0.88</v>
      </c>
      <c r="H19" s="906">
        <v>0.2</v>
      </c>
      <c r="I19" s="906" t="s">
        <v>39</v>
      </c>
      <c r="J19" s="1024" t="s">
        <v>40</v>
      </c>
      <c r="K19" s="953">
        <v>0.25</v>
      </c>
      <c r="L19" s="1186">
        <f t="shared" si="0"/>
        <v>4.4835365181403991E-2</v>
      </c>
      <c r="M19" s="1188">
        <f t="shared" si="1"/>
        <v>0.17934146072561596</v>
      </c>
      <c r="N19" s="1188">
        <v>0.25</v>
      </c>
      <c r="O19" s="1232">
        <f t="shared" si="6"/>
        <v>0.16638463248164068</v>
      </c>
      <c r="P19" s="910">
        <f t="shared" si="11"/>
        <v>0.66553852992656271</v>
      </c>
      <c r="Q19" s="1188">
        <v>0.25</v>
      </c>
      <c r="R19" s="909">
        <f t="shared" si="7"/>
        <v>0.30058385883326916</v>
      </c>
      <c r="S19" s="910">
        <f t="shared" si="2"/>
        <v>1.2023354353330766</v>
      </c>
      <c r="T19" s="1188">
        <v>0.15</v>
      </c>
      <c r="U19" s="909">
        <f t="shared" si="8"/>
        <v>0</v>
      </c>
      <c r="V19" s="910">
        <f t="shared" si="3"/>
        <v>0</v>
      </c>
      <c r="W19" s="1186">
        <f t="shared" si="4"/>
        <v>0.9</v>
      </c>
      <c r="X19" s="1186">
        <f t="shared" si="12"/>
        <v>0.51180385649631388</v>
      </c>
      <c r="Y19" s="926">
        <f t="shared" si="10"/>
        <v>0.56867095166257098</v>
      </c>
      <c r="Z19" s="1220">
        <f t="shared" si="5"/>
        <v>0.1137341903325142</v>
      </c>
      <c r="AA19" s="913" t="s">
        <v>679</v>
      </c>
      <c r="AB19" s="904" t="s">
        <v>680</v>
      </c>
      <c r="AC19" s="904" t="s">
        <v>678</v>
      </c>
      <c r="AD19" s="914" t="s">
        <v>43</v>
      </c>
      <c r="AE19" s="954" t="s">
        <v>677</v>
      </c>
      <c r="AF19" s="949">
        <f>+'PE02, PA01, PA03, PA04, PA05'!AG19</f>
        <v>1111431624</v>
      </c>
      <c r="AG19" s="950">
        <f>+'PE02, PA01, PA03, PA04, PA05'!AH19</f>
        <v>24789173000</v>
      </c>
      <c r="AH19" s="1299"/>
      <c r="AI19" s="958">
        <f>+'PE02, PA01, PA03, PA04, PA05'!AJ19</f>
        <v>4091094128</v>
      </c>
      <c r="AJ19" s="959">
        <f>+'PE02, PA01, PA03, PA04, PA05'!AK19</f>
        <v>24588173000</v>
      </c>
      <c r="AK19" s="1238"/>
      <c r="AL19" s="1303">
        <v>7390807922</v>
      </c>
      <c r="AM19" s="959">
        <v>24588173000</v>
      </c>
      <c r="AN19" s="919"/>
      <c r="AO19" s="917"/>
      <c r="AP19" s="918"/>
      <c r="AQ19" s="919"/>
      <c r="AR19" s="1543"/>
      <c r="AS19" s="1544"/>
    </row>
    <row r="20" spans="1:45" s="903" customFormat="1" ht="45" x14ac:dyDescent="0.2">
      <c r="A20" s="1545"/>
      <c r="B20" s="1546"/>
      <c r="C20" s="1546"/>
      <c r="D20" s="1547"/>
      <c r="E20" s="920">
        <v>2.5</v>
      </c>
      <c r="F20" s="909" t="s">
        <v>715</v>
      </c>
      <c r="G20" s="906">
        <v>0.76</v>
      </c>
      <c r="H20" s="906">
        <v>0.2</v>
      </c>
      <c r="I20" s="906" t="s">
        <v>42</v>
      </c>
      <c r="J20" s="1024" t="s">
        <v>40</v>
      </c>
      <c r="K20" s="956">
        <v>2018063217</v>
      </c>
      <c r="L20" s="957">
        <f t="shared" si="0"/>
        <v>1111431629</v>
      </c>
      <c r="M20" s="1188">
        <f t="shared" si="1"/>
        <v>0.55074173080277689</v>
      </c>
      <c r="N20" s="957">
        <f>+AJ20</f>
        <v>5202525752</v>
      </c>
      <c r="O20" s="957">
        <f t="shared" si="6"/>
        <v>4091094123</v>
      </c>
      <c r="P20" s="910">
        <f t="shared" si="11"/>
        <v>0.78636691446020546</v>
      </c>
      <c r="Q20" s="957">
        <f>+AM20</f>
        <v>7789941519</v>
      </c>
      <c r="R20" s="909">
        <f t="shared" si="7"/>
        <v>7390807922</v>
      </c>
      <c r="S20" s="910">
        <f t="shared" si="2"/>
        <v>0.94876295335125482</v>
      </c>
      <c r="T20" s="957">
        <f>+AP20</f>
        <v>5941585714</v>
      </c>
      <c r="U20" s="909">
        <f t="shared" si="8"/>
        <v>0</v>
      </c>
      <c r="V20" s="910">
        <f t="shared" si="3"/>
        <v>0</v>
      </c>
      <c r="W20" s="909">
        <f t="shared" si="4"/>
        <v>20952116202</v>
      </c>
      <c r="X20" s="957">
        <f t="shared" si="12"/>
        <v>12593333674</v>
      </c>
      <c r="Y20" s="926">
        <f t="shared" si="10"/>
        <v>0.6010530655990679</v>
      </c>
      <c r="Z20" s="1220">
        <f t="shared" si="5"/>
        <v>0.12021061311981358</v>
      </c>
      <c r="AA20" s="913" t="s">
        <v>685</v>
      </c>
      <c r="AB20" s="904" t="s">
        <v>683</v>
      </c>
      <c r="AC20" s="904" t="s">
        <v>684</v>
      </c>
      <c r="AD20" s="914" t="s">
        <v>43</v>
      </c>
      <c r="AE20" s="954" t="s">
        <v>677</v>
      </c>
      <c r="AF20" s="949">
        <f>+'PE02, PA01, PA03, PA04, PA05'!AG20</f>
        <v>1111431629</v>
      </c>
      <c r="AG20" s="950">
        <f>+'PE02, PA01, PA03, PA04, PA05'!AH20</f>
        <v>2018063217</v>
      </c>
      <c r="AH20" s="1300"/>
      <c r="AI20" s="958">
        <f>+'PE02, PA01, PA03, PA04, PA05'!AJ20</f>
        <v>4091094123</v>
      </c>
      <c r="AJ20" s="959">
        <f>+'PE02, PA01, PA03, PA04, PA05'!AK20</f>
        <v>5202525752</v>
      </c>
      <c r="AK20" s="960"/>
      <c r="AL20" s="1303">
        <v>7390807922</v>
      </c>
      <c r="AM20" s="959">
        <v>7789941519</v>
      </c>
      <c r="AN20" s="960"/>
      <c r="AO20" s="958"/>
      <c r="AP20" s="959">
        <v>5941585714</v>
      </c>
      <c r="AQ20" s="960"/>
      <c r="AR20" s="1543"/>
      <c r="AS20" s="1544"/>
    </row>
    <row r="21" spans="1:45" s="903" customFormat="1" ht="30.75" thickBot="1" x14ac:dyDescent="0.25">
      <c r="A21" s="1534"/>
      <c r="B21" s="1536"/>
      <c r="C21" s="1536"/>
      <c r="D21" s="1538"/>
      <c r="E21" s="927">
        <v>2.6</v>
      </c>
      <c r="F21" s="928" t="s">
        <v>661</v>
      </c>
      <c r="G21" s="961">
        <v>0.97</v>
      </c>
      <c r="H21" s="929">
        <v>0.2</v>
      </c>
      <c r="I21" s="929" t="s">
        <v>39</v>
      </c>
      <c r="J21" s="1132" t="s">
        <v>40</v>
      </c>
      <c r="K21" s="1043">
        <v>0.57999999999999996</v>
      </c>
      <c r="L21" s="1194">
        <f t="shared" si="0"/>
        <v>0.45013522557253921</v>
      </c>
      <c r="M21" s="1192">
        <f t="shared" si="1"/>
        <v>0.77609521650437796</v>
      </c>
      <c r="N21" s="1194">
        <v>0.38</v>
      </c>
      <c r="O21" s="1231">
        <f t="shared" si="6"/>
        <v>0.75179005437360458</v>
      </c>
      <c r="P21" s="1045">
        <f t="shared" si="11"/>
        <v>1.9783948799305384</v>
      </c>
      <c r="Q21" s="1194">
        <v>0.02</v>
      </c>
      <c r="R21" s="941">
        <f t="shared" si="7"/>
        <v>0.90090062902175605</v>
      </c>
      <c r="S21" s="1045">
        <f t="shared" si="2"/>
        <v>45.045031451087802</v>
      </c>
      <c r="T21" s="1194">
        <v>0.02</v>
      </c>
      <c r="U21" s="941">
        <f t="shared" si="8"/>
        <v>0</v>
      </c>
      <c r="V21" s="1045">
        <f t="shared" si="3"/>
        <v>0</v>
      </c>
      <c r="W21" s="1194">
        <f t="shared" si="4"/>
        <v>1</v>
      </c>
      <c r="X21" s="1194">
        <f t="shared" si="12"/>
        <v>2.1028259089678998</v>
      </c>
      <c r="Y21" s="1102">
        <f t="shared" si="10"/>
        <v>2.1028259089678998</v>
      </c>
      <c r="Z21" s="1221">
        <f t="shared" si="5"/>
        <v>0.42056518179357999</v>
      </c>
      <c r="AA21" s="937" t="s">
        <v>686</v>
      </c>
      <c r="AB21" s="933" t="s">
        <v>683</v>
      </c>
      <c r="AC21" s="933" t="s">
        <v>717</v>
      </c>
      <c r="AD21" s="938" t="s">
        <v>43</v>
      </c>
      <c r="AE21" s="963" t="s">
        <v>677</v>
      </c>
      <c r="AF21" s="949">
        <f>+'PE02, PA01, PA03, PA04, PA05'!AG21</f>
        <v>2768570240</v>
      </c>
      <c r="AG21" s="950">
        <f>+'PE02, PA01, PA03, PA04, PA05'!AH21</f>
        <v>6150530069</v>
      </c>
      <c r="AH21" s="1301"/>
      <c r="AI21" s="1307">
        <f>+'PE02, PA01, PA03, PA04, PA05'!AJ21</f>
        <v>4623907335</v>
      </c>
      <c r="AJ21" s="1308">
        <f>+'PE02, PA01, PA03, PA04, PA05'!AK21</f>
        <v>6150530069</v>
      </c>
      <c r="AK21" s="1309"/>
      <c r="AL21" s="1304">
        <v>5519245265</v>
      </c>
      <c r="AM21" s="964">
        <v>6126364093</v>
      </c>
      <c r="AN21" s="965"/>
      <c r="AO21" s="966"/>
      <c r="AP21" s="964">
        <v>6150530069</v>
      </c>
      <c r="AQ21" s="965"/>
      <c r="AR21" s="1540"/>
      <c r="AS21" s="1542"/>
    </row>
    <row r="22" spans="1:45" s="903" customFormat="1" ht="90.75" thickBot="1" x14ac:dyDescent="0.25">
      <c r="A22" s="967" t="s">
        <v>595</v>
      </c>
      <c r="B22" s="968">
        <v>3</v>
      </c>
      <c r="C22" s="968" t="s">
        <v>663</v>
      </c>
      <c r="D22" s="969">
        <v>1.4999999999999999E-2</v>
      </c>
      <c r="E22" s="968" t="s">
        <v>279</v>
      </c>
      <c r="F22" s="970" t="s">
        <v>696</v>
      </c>
      <c r="G22" s="971" t="s">
        <v>697</v>
      </c>
      <c r="H22" s="972">
        <v>1</v>
      </c>
      <c r="I22" s="972" t="s">
        <v>39</v>
      </c>
      <c r="J22" s="973" t="s">
        <v>106</v>
      </c>
      <c r="K22" s="1222">
        <v>1</v>
      </c>
      <c r="L22" s="1223">
        <f t="shared" si="0"/>
        <v>0.98076923076923073</v>
      </c>
      <c r="M22" s="1178">
        <f t="shared" si="1"/>
        <v>0.98076923076923073</v>
      </c>
      <c r="N22" s="1223">
        <v>1</v>
      </c>
      <c r="O22" s="1223">
        <f t="shared" si="6"/>
        <v>0.97660818713450293</v>
      </c>
      <c r="P22" s="1153">
        <f t="shared" si="11"/>
        <v>0.97660818713450293</v>
      </c>
      <c r="Q22" s="1223">
        <v>1</v>
      </c>
      <c r="R22" s="1195">
        <f t="shared" si="7"/>
        <v>0.85661764705882348</v>
      </c>
      <c r="S22" s="1153">
        <f t="shared" si="2"/>
        <v>0.85661764705882348</v>
      </c>
      <c r="T22" s="1223">
        <v>1</v>
      </c>
      <c r="U22" s="1195">
        <f t="shared" si="8"/>
        <v>0</v>
      </c>
      <c r="V22" s="1153">
        <f t="shared" si="3"/>
        <v>0</v>
      </c>
      <c r="W22" s="1223">
        <v>1</v>
      </c>
      <c r="X22" s="1177">
        <f t="shared" si="12"/>
        <v>0.70349876624063923</v>
      </c>
      <c r="Y22" s="1224">
        <f t="shared" si="10"/>
        <v>0.70349876624063923</v>
      </c>
      <c r="Z22" s="975">
        <f t="shared" si="5"/>
        <v>0.70349876624063923</v>
      </c>
      <c r="AA22" s="976" t="s">
        <v>439</v>
      </c>
      <c r="AB22" s="968" t="s">
        <v>739</v>
      </c>
      <c r="AC22" s="968" t="s">
        <v>740</v>
      </c>
      <c r="AD22" s="977" t="s">
        <v>43</v>
      </c>
      <c r="AE22" s="978" t="s">
        <v>323</v>
      </c>
      <c r="AF22" s="979">
        <f>+'PE02, PA01, PA03, PA04, PA05'!AG22</f>
        <v>357</v>
      </c>
      <c r="AG22" s="980">
        <f>+'PE02, PA01, PA03, PA04, PA05'!AH22</f>
        <v>364</v>
      </c>
      <c r="AH22" s="981"/>
      <c r="AI22" s="1305">
        <f>+'PE02, PA01, PA03, PA04, PA05'!AJ22</f>
        <v>334</v>
      </c>
      <c r="AJ22" s="1030">
        <f>+'PE02, PA01, PA03, PA04, PA05'!AK22</f>
        <v>342</v>
      </c>
      <c r="AK22" s="1306"/>
      <c r="AL22" s="982">
        <v>233</v>
      </c>
      <c r="AM22" s="983">
        <v>272</v>
      </c>
      <c r="AN22" s="984"/>
      <c r="AO22" s="982"/>
      <c r="AP22" s="983"/>
      <c r="AQ22" s="984"/>
      <c r="AR22" s="985" t="s">
        <v>709</v>
      </c>
      <c r="AS22" s="978">
        <f>+Z22</f>
        <v>0.70349876624063923</v>
      </c>
    </row>
    <row r="23" spans="1:45" s="903" customFormat="1" ht="75" x14ac:dyDescent="0.2">
      <c r="A23" s="1533" t="s">
        <v>598</v>
      </c>
      <c r="B23" s="1535">
        <v>4</v>
      </c>
      <c r="C23" s="1535" t="s">
        <v>663</v>
      </c>
      <c r="D23" s="1537">
        <v>0.03</v>
      </c>
      <c r="E23" s="888" t="s">
        <v>281</v>
      </c>
      <c r="F23" s="893" t="s">
        <v>656</v>
      </c>
      <c r="G23" s="986">
        <v>0.78</v>
      </c>
      <c r="H23" s="890">
        <v>0.5</v>
      </c>
      <c r="I23" s="890" t="s">
        <v>39</v>
      </c>
      <c r="J23" s="891" t="s">
        <v>106</v>
      </c>
      <c r="K23" s="987">
        <v>1</v>
      </c>
      <c r="L23" s="1183">
        <f t="shared" si="0"/>
        <v>0.98005203816131825</v>
      </c>
      <c r="M23" s="1187">
        <f t="shared" si="1"/>
        <v>0.98005203816131825</v>
      </c>
      <c r="N23" s="1183">
        <v>1</v>
      </c>
      <c r="O23" s="1229">
        <f t="shared" si="6"/>
        <v>0.99095022624434392</v>
      </c>
      <c r="P23" s="894">
        <f t="shared" si="11"/>
        <v>0.99095022624434392</v>
      </c>
      <c r="Q23" s="1183">
        <v>1</v>
      </c>
      <c r="R23" s="893">
        <f t="shared" si="7"/>
        <v>0.96860816944024208</v>
      </c>
      <c r="S23" s="894">
        <f t="shared" si="2"/>
        <v>0.96860816944024208</v>
      </c>
      <c r="T23" s="1183">
        <v>1</v>
      </c>
      <c r="U23" s="893">
        <f t="shared" si="8"/>
        <v>0</v>
      </c>
      <c r="V23" s="894">
        <f t="shared" si="3"/>
        <v>0</v>
      </c>
      <c r="W23" s="1183">
        <v>1</v>
      </c>
      <c r="X23" s="893">
        <f t="shared" si="12"/>
        <v>0.73490260846147604</v>
      </c>
      <c r="Y23" s="947">
        <f t="shared" si="10"/>
        <v>0.73490260846147604</v>
      </c>
      <c r="Z23" s="896">
        <f t="shared" si="5"/>
        <v>0.36745130423073802</v>
      </c>
      <c r="AA23" s="897" t="s">
        <v>690</v>
      </c>
      <c r="AB23" s="888" t="s">
        <v>689</v>
      </c>
      <c r="AC23" s="888" t="s">
        <v>688</v>
      </c>
      <c r="AD23" s="898" t="s">
        <v>43</v>
      </c>
      <c r="AE23" s="899" t="s">
        <v>691</v>
      </c>
      <c r="AF23" s="988">
        <f>+'PE02, PA01, PA03, PA04, PA05'!AG23</f>
        <v>2260</v>
      </c>
      <c r="AG23" s="989">
        <f>+'PE02, PA01, PA03, PA04, PA05'!AH23</f>
        <v>2306</v>
      </c>
      <c r="AH23" s="1310"/>
      <c r="AI23" s="900">
        <f>+'PE02, PA01, PA03, PA04, PA05'!AJ23</f>
        <v>2628</v>
      </c>
      <c r="AJ23" s="901">
        <f>+'PE02, PA01, PA03, PA04, PA05'!AK23</f>
        <v>2652</v>
      </c>
      <c r="AK23" s="1239"/>
      <c r="AL23" s="1235">
        <v>2561</v>
      </c>
      <c r="AM23" s="901">
        <v>2644</v>
      </c>
      <c r="AN23" s="902"/>
      <c r="AO23" s="900"/>
      <c r="AP23" s="901"/>
      <c r="AQ23" s="902"/>
      <c r="AR23" s="1539" t="s">
        <v>710</v>
      </c>
      <c r="AS23" s="1541">
        <f>SUM(Z23:Z24)</f>
        <v>0.72822140937424473</v>
      </c>
    </row>
    <row r="24" spans="1:45" s="903" customFormat="1" ht="90.75" thickBot="1" x14ac:dyDescent="0.25">
      <c r="A24" s="1534"/>
      <c r="B24" s="1536"/>
      <c r="C24" s="1536"/>
      <c r="D24" s="1538"/>
      <c r="E24" s="927" t="s">
        <v>282</v>
      </c>
      <c r="F24" s="990" t="s">
        <v>687</v>
      </c>
      <c r="G24" s="929">
        <v>0.94</v>
      </c>
      <c r="H24" s="929">
        <v>0.5</v>
      </c>
      <c r="I24" s="929" t="s">
        <v>39</v>
      </c>
      <c r="J24" s="930" t="s">
        <v>106</v>
      </c>
      <c r="K24" s="1277">
        <v>1</v>
      </c>
      <c r="L24" s="1194">
        <f t="shared" si="0"/>
        <v>0.99130434782608701</v>
      </c>
      <c r="M24" s="1192">
        <f t="shared" si="1"/>
        <v>0.99130434782608701</v>
      </c>
      <c r="N24" s="1192">
        <v>1</v>
      </c>
      <c r="O24" s="1231">
        <f t="shared" si="6"/>
        <v>0.9673202614379085</v>
      </c>
      <c r="P24" s="1045">
        <f t="shared" si="11"/>
        <v>0.9673202614379085</v>
      </c>
      <c r="Q24" s="1192">
        <v>1</v>
      </c>
      <c r="R24" s="941">
        <f t="shared" si="7"/>
        <v>0.92753623188405798</v>
      </c>
      <c r="S24" s="1045">
        <f t="shared" si="2"/>
        <v>0.92753623188405798</v>
      </c>
      <c r="T24" s="1192">
        <v>1</v>
      </c>
      <c r="U24" s="941">
        <f t="shared" si="8"/>
        <v>0</v>
      </c>
      <c r="V24" s="1045">
        <f t="shared" si="3"/>
        <v>0</v>
      </c>
      <c r="W24" s="1192">
        <v>1</v>
      </c>
      <c r="X24" s="941">
        <f t="shared" si="12"/>
        <v>0.72154021028701343</v>
      </c>
      <c r="Y24" s="1102">
        <f t="shared" si="10"/>
        <v>0.72154021028701343</v>
      </c>
      <c r="Z24" s="936">
        <f t="shared" si="5"/>
        <v>0.36077010514350671</v>
      </c>
      <c r="AA24" s="992" t="s">
        <v>694</v>
      </c>
      <c r="AB24" s="928" t="s">
        <v>693</v>
      </c>
      <c r="AC24" s="928" t="s">
        <v>692</v>
      </c>
      <c r="AD24" s="938" t="s">
        <v>43</v>
      </c>
      <c r="AE24" s="939" t="s">
        <v>691</v>
      </c>
      <c r="AF24" s="993">
        <f>+'PE02, PA01, PA03, PA04, PA05'!AG24</f>
        <v>114</v>
      </c>
      <c r="AG24" s="994">
        <f>+'PE02, PA01, PA03, PA04, PA05'!AH24</f>
        <v>115</v>
      </c>
      <c r="AH24" s="1311"/>
      <c r="AI24" s="1315">
        <f>+'PE02, PA01, PA03, PA04, PA05'!AJ24</f>
        <v>148</v>
      </c>
      <c r="AJ24" s="1316">
        <f>+'PE02, PA01, PA03, PA04, PA05'!AK24</f>
        <v>153</v>
      </c>
      <c r="AK24" s="1317"/>
      <c r="AL24" s="1237">
        <v>256</v>
      </c>
      <c r="AM24" s="943">
        <v>276</v>
      </c>
      <c r="AN24" s="944"/>
      <c r="AO24" s="942"/>
      <c r="AP24" s="943"/>
      <c r="AQ24" s="944"/>
      <c r="AR24" s="1540"/>
      <c r="AS24" s="1542"/>
    </row>
    <row r="25" spans="1:45" s="903" customFormat="1" ht="45" x14ac:dyDescent="0.2">
      <c r="A25" s="1533" t="s">
        <v>598</v>
      </c>
      <c r="B25" s="1535">
        <v>5</v>
      </c>
      <c r="C25" s="1535" t="s">
        <v>720</v>
      </c>
      <c r="D25" s="1548">
        <v>0.06</v>
      </c>
      <c r="E25" s="888" t="s">
        <v>559</v>
      </c>
      <c r="F25" s="893" t="s">
        <v>705</v>
      </c>
      <c r="G25" s="888">
        <v>3</v>
      </c>
      <c r="H25" s="890">
        <v>0.25</v>
      </c>
      <c r="I25" s="890" t="s">
        <v>42</v>
      </c>
      <c r="J25" s="891" t="s">
        <v>40</v>
      </c>
      <c r="K25" s="1145">
        <v>0</v>
      </c>
      <c r="L25" s="1190">
        <f t="shared" si="0"/>
        <v>0</v>
      </c>
      <c r="M25" s="1056">
        <f>IF(ISERROR(L25/K25),0,(L25/K25))</f>
        <v>0</v>
      </c>
      <c r="N25" s="1190">
        <v>1</v>
      </c>
      <c r="O25" s="1196">
        <f t="shared" si="6"/>
        <v>1</v>
      </c>
      <c r="P25" s="1153">
        <f>IF(ISERROR(O25/N25),0,(O25/N25))</f>
        <v>1</v>
      </c>
      <c r="Q25" s="1197">
        <v>0</v>
      </c>
      <c r="R25" s="1196">
        <f t="shared" si="7"/>
        <v>1</v>
      </c>
      <c r="S25" s="1153">
        <f>IF(ISERROR(R25/Q25),0,(R25/Q25))</f>
        <v>0</v>
      </c>
      <c r="T25" s="1197">
        <v>1</v>
      </c>
      <c r="U25" s="1196">
        <f t="shared" si="8"/>
        <v>0</v>
      </c>
      <c r="V25" s="1153">
        <f>IF(ISERROR(U25/T25),0,(U25/T25))</f>
        <v>0</v>
      </c>
      <c r="W25" s="1276">
        <f>IF(J25="SUMA",(K25+N25+Q25+T25),(K25))</f>
        <v>2</v>
      </c>
      <c r="X25" s="1196">
        <f t="shared" si="12"/>
        <v>2</v>
      </c>
      <c r="Y25" s="1002">
        <f t="shared" si="10"/>
        <v>1</v>
      </c>
      <c r="Z25" s="896">
        <f t="shared" si="5"/>
        <v>0.25</v>
      </c>
      <c r="AA25" s="897" t="s">
        <v>350</v>
      </c>
      <c r="AB25" s="888" t="s">
        <v>517</v>
      </c>
      <c r="AC25" s="888" t="s">
        <v>518</v>
      </c>
      <c r="AD25" s="898" t="s">
        <v>43</v>
      </c>
      <c r="AE25" s="948" t="s">
        <v>423</v>
      </c>
      <c r="AF25" s="996">
        <f>+'PE01'!AF11</f>
        <v>0</v>
      </c>
      <c r="AG25" s="997">
        <f>+'PE01'!AG11</f>
        <v>0</v>
      </c>
      <c r="AH25" s="998"/>
      <c r="AI25" s="1312">
        <f>+'PE01'!AI11</f>
        <v>1</v>
      </c>
      <c r="AJ25" s="1313">
        <f>+'PE01'!AJ11</f>
        <v>1</v>
      </c>
      <c r="AK25" s="1314"/>
      <c r="AL25" s="900">
        <v>1</v>
      </c>
      <c r="AM25" s="901">
        <v>1</v>
      </c>
      <c r="AN25" s="1000"/>
      <c r="AO25" s="900"/>
      <c r="AP25" s="901"/>
      <c r="AQ25" s="1000"/>
      <c r="AR25" s="1539" t="s">
        <v>177</v>
      </c>
      <c r="AS25" s="1550">
        <f>((SUM(Z25:Z28))*0.5)+((SUM(Z29:Z32))*0.5)</f>
        <v>0.70549242424242431</v>
      </c>
    </row>
    <row r="26" spans="1:45" s="903" customFormat="1" ht="60" x14ac:dyDescent="0.2">
      <c r="A26" s="1545"/>
      <c r="B26" s="1546"/>
      <c r="C26" s="1546"/>
      <c r="D26" s="1549"/>
      <c r="E26" s="904" t="s">
        <v>621</v>
      </c>
      <c r="F26" s="909" t="s">
        <v>695</v>
      </c>
      <c r="G26" s="904">
        <v>1</v>
      </c>
      <c r="H26" s="906">
        <v>0.25</v>
      </c>
      <c r="I26" s="906" t="s">
        <v>42</v>
      </c>
      <c r="J26" s="907" t="s">
        <v>106</v>
      </c>
      <c r="K26" s="1001">
        <v>1</v>
      </c>
      <c r="L26" s="909">
        <f t="shared" si="0"/>
        <v>1</v>
      </c>
      <c r="M26" s="910">
        <f>IF(ISERROR(L26/K26),0,(L26/K26))</f>
        <v>1</v>
      </c>
      <c r="N26" s="904">
        <v>0</v>
      </c>
      <c r="O26" s="909">
        <f t="shared" si="6"/>
        <v>0</v>
      </c>
      <c r="P26" s="910">
        <f>IF(ISERROR(O26/N26),0,(O26/N26))</f>
        <v>0</v>
      </c>
      <c r="Q26" s="904">
        <v>0</v>
      </c>
      <c r="R26" s="909">
        <f t="shared" si="7"/>
        <v>0</v>
      </c>
      <c r="S26" s="910">
        <f>IF(ISERROR(R26/Q26),0,(R26/Q26))</f>
        <v>0</v>
      </c>
      <c r="T26" s="904">
        <v>0</v>
      </c>
      <c r="U26" s="909">
        <f t="shared" si="8"/>
        <v>0</v>
      </c>
      <c r="V26" s="910">
        <f>IF(ISERROR(U26/T26),0,(U26/T26))</f>
        <v>0</v>
      </c>
      <c r="W26" s="925">
        <f>IF(J26="SUMA",(K26+N26+Q26+T26),(K26))</f>
        <v>1</v>
      </c>
      <c r="X26" s="923">
        <f t="shared" si="12"/>
        <v>0.25</v>
      </c>
      <c r="Y26" s="1002">
        <f t="shared" si="10"/>
        <v>0.25</v>
      </c>
      <c r="Z26" s="912">
        <f t="shared" si="5"/>
        <v>6.25E-2</v>
      </c>
      <c r="AA26" s="913" t="s">
        <v>351</v>
      </c>
      <c r="AB26" s="904" t="s">
        <v>519</v>
      </c>
      <c r="AC26" s="904" t="s">
        <v>520</v>
      </c>
      <c r="AD26" s="914" t="s">
        <v>43</v>
      </c>
      <c r="AE26" s="954" t="s">
        <v>413</v>
      </c>
      <c r="AF26" s="996">
        <f>+'PE01'!AF12</f>
        <v>1</v>
      </c>
      <c r="AG26" s="997">
        <f>+'PE01'!AG12</f>
        <v>1</v>
      </c>
      <c r="AH26" s="916"/>
      <c r="AI26" s="1312">
        <f>+'PE01'!AI12</f>
        <v>0</v>
      </c>
      <c r="AJ26" s="1313">
        <f>+'PE01'!AJ12</f>
        <v>0</v>
      </c>
      <c r="AK26" s="1003"/>
      <c r="AL26" s="917"/>
      <c r="AM26" s="918"/>
      <c r="AN26" s="1004"/>
      <c r="AO26" s="917"/>
      <c r="AP26" s="918"/>
      <c r="AQ26" s="1004"/>
      <c r="AR26" s="1543"/>
      <c r="AS26" s="1544"/>
    </row>
    <row r="27" spans="1:45" s="903" customFormat="1" ht="45" x14ac:dyDescent="0.2">
      <c r="A27" s="1545"/>
      <c r="B27" s="1546"/>
      <c r="C27" s="1546"/>
      <c r="D27" s="1549"/>
      <c r="E27" s="904" t="s">
        <v>622</v>
      </c>
      <c r="F27" s="909" t="s">
        <v>298</v>
      </c>
      <c r="G27" s="904">
        <v>3</v>
      </c>
      <c r="H27" s="906">
        <v>0.25</v>
      </c>
      <c r="I27" s="906" t="s">
        <v>42</v>
      </c>
      <c r="J27" s="907" t="s">
        <v>40</v>
      </c>
      <c r="K27" s="1001">
        <v>0</v>
      </c>
      <c r="L27" s="909">
        <f t="shared" si="0"/>
        <v>0</v>
      </c>
      <c r="M27" s="910">
        <f>IF(ISERROR(L27/K27),0,(L27/K27))</f>
        <v>0</v>
      </c>
      <c r="N27" s="904">
        <v>1</v>
      </c>
      <c r="O27" s="909">
        <f t="shared" si="6"/>
        <v>1</v>
      </c>
      <c r="P27" s="910">
        <f>IF(ISERROR(O27/N27),0,(O27/N27))</f>
        <v>1</v>
      </c>
      <c r="Q27" s="904">
        <v>1</v>
      </c>
      <c r="R27" s="909">
        <f t="shared" si="7"/>
        <v>1</v>
      </c>
      <c r="S27" s="910">
        <f>IF(ISERROR(R27/Q27),0,(R27/Q27))</f>
        <v>1</v>
      </c>
      <c r="T27" s="904">
        <v>1</v>
      </c>
      <c r="U27" s="909">
        <f t="shared" si="8"/>
        <v>0</v>
      </c>
      <c r="V27" s="910">
        <f>IF(ISERROR(U27/T27),0,(U27/T27))</f>
        <v>0</v>
      </c>
      <c r="W27" s="1005">
        <f>IF(J27="SUMA",(K27+N27+Q27+T27),(K27))</f>
        <v>3</v>
      </c>
      <c r="X27" s="909">
        <f t="shared" si="12"/>
        <v>2</v>
      </c>
      <c r="Y27" s="926">
        <f t="shared" si="10"/>
        <v>0.66666666666666663</v>
      </c>
      <c r="Z27" s="912">
        <f t="shared" si="5"/>
        <v>0.16666666666666666</v>
      </c>
      <c r="AA27" s="913" t="s">
        <v>376</v>
      </c>
      <c r="AB27" s="904" t="s">
        <v>421</v>
      </c>
      <c r="AC27" s="904" t="s">
        <v>422</v>
      </c>
      <c r="AD27" s="914" t="s">
        <v>43</v>
      </c>
      <c r="AE27" s="954" t="s">
        <v>414</v>
      </c>
      <c r="AF27" s="996">
        <f>+'PE01'!AF13</f>
        <v>0</v>
      </c>
      <c r="AG27" s="997">
        <f>+'PE01'!AG13</f>
        <v>0</v>
      </c>
      <c r="AH27" s="916"/>
      <c r="AI27" s="1312">
        <f>+'PE01'!AI13</f>
        <v>1</v>
      </c>
      <c r="AJ27" s="1313">
        <f>+'PE01'!AJ13</f>
        <v>1</v>
      </c>
      <c r="AK27" s="1003"/>
      <c r="AL27" s="917">
        <v>1</v>
      </c>
      <c r="AM27" s="918">
        <v>1</v>
      </c>
      <c r="AN27" s="1004"/>
      <c r="AO27" s="1006"/>
      <c r="AP27" s="1007"/>
      <c r="AQ27" s="1004"/>
      <c r="AR27" s="1543"/>
      <c r="AS27" s="1544"/>
    </row>
    <row r="28" spans="1:45" s="903" customFormat="1" ht="45" x14ac:dyDescent="0.2">
      <c r="A28" s="1545"/>
      <c r="B28" s="1546"/>
      <c r="C28" s="1546"/>
      <c r="D28" s="1549"/>
      <c r="E28" s="904" t="s">
        <v>623</v>
      </c>
      <c r="F28" s="909" t="s">
        <v>650</v>
      </c>
      <c r="G28" s="904">
        <v>4</v>
      </c>
      <c r="H28" s="906">
        <v>0.25</v>
      </c>
      <c r="I28" s="906" t="s">
        <v>42</v>
      </c>
      <c r="J28" s="907" t="s">
        <v>40</v>
      </c>
      <c r="K28" s="1001">
        <v>1</v>
      </c>
      <c r="L28" s="909">
        <f t="shared" si="0"/>
        <v>1</v>
      </c>
      <c r="M28" s="910">
        <f t="shared" ref="M28" si="13">IF(ISERROR(L28/K28),0,(L28/K28))</f>
        <v>1</v>
      </c>
      <c r="N28" s="904">
        <v>1</v>
      </c>
      <c r="O28" s="909">
        <f t="shared" si="6"/>
        <v>1</v>
      </c>
      <c r="P28" s="910">
        <f t="shared" ref="P28" si="14">IF(ISERROR(O28/N28),0,(O28/N28))</f>
        <v>1</v>
      </c>
      <c r="Q28" s="904">
        <v>1</v>
      </c>
      <c r="R28" s="909">
        <f t="shared" si="7"/>
        <v>1</v>
      </c>
      <c r="S28" s="910">
        <f t="shared" ref="S28" si="15">IF(ISERROR(R28/Q28),0,(R28/Q28))</f>
        <v>1</v>
      </c>
      <c r="T28" s="904">
        <v>1</v>
      </c>
      <c r="U28" s="909">
        <f t="shared" si="8"/>
        <v>0</v>
      </c>
      <c r="V28" s="910">
        <f t="shared" ref="V28" si="16">IF(ISERROR(U28/T28),0,(U28/T28))</f>
        <v>0</v>
      </c>
      <c r="W28" s="1005">
        <f>IF(J28="SUMA",(K28+N28+Q28+T28),(K28))</f>
        <v>4</v>
      </c>
      <c r="X28" s="909">
        <f t="shared" si="12"/>
        <v>3</v>
      </c>
      <c r="Y28" s="926">
        <f t="shared" si="10"/>
        <v>0.75</v>
      </c>
      <c r="Z28" s="912">
        <f t="shared" si="5"/>
        <v>0.1875</v>
      </c>
      <c r="AA28" s="913" t="s">
        <v>555</v>
      </c>
      <c r="AB28" s="904" t="s">
        <v>556</v>
      </c>
      <c r="AC28" s="904" t="s">
        <v>557</v>
      </c>
      <c r="AD28" s="914" t="s">
        <v>43</v>
      </c>
      <c r="AE28" s="954" t="s">
        <v>558</v>
      </c>
      <c r="AF28" s="996">
        <f>+'PE01'!AF14</f>
        <v>1</v>
      </c>
      <c r="AG28" s="997">
        <f>+'PE01'!AG14</f>
        <v>1</v>
      </c>
      <c r="AH28" s="916"/>
      <c r="AI28" s="1312">
        <f>+'PE01'!AI14</f>
        <v>1</v>
      </c>
      <c r="AJ28" s="1313">
        <f>+'PE01'!AJ14</f>
        <v>1</v>
      </c>
      <c r="AK28" s="1003"/>
      <c r="AL28" s="917">
        <v>1</v>
      </c>
      <c r="AM28" s="918">
        <v>1</v>
      </c>
      <c r="AN28" s="1004"/>
      <c r="AO28" s="1006"/>
      <c r="AP28" s="1007"/>
      <c r="AQ28" s="1004"/>
      <c r="AR28" s="1543"/>
      <c r="AS28" s="1544"/>
    </row>
    <row r="29" spans="1:45" s="903" customFormat="1" ht="60" x14ac:dyDescent="0.2">
      <c r="A29" s="1545"/>
      <c r="B29" s="1546">
        <v>6</v>
      </c>
      <c r="C29" s="1546" t="s">
        <v>719</v>
      </c>
      <c r="D29" s="1549">
        <v>0.06</v>
      </c>
      <c r="E29" s="904" t="s">
        <v>283</v>
      </c>
      <c r="F29" s="909" t="s">
        <v>261</v>
      </c>
      <c r="G29" s="909">
        <v>4</v>
      </c>
      <c r="H29" s="906">
        <v>0.25</v>
      </c>
      <c r="I29" s="906" t="s">
        <v>42</v>
      </c>
      <c r="J29" s="907" t="s">
        <v>40</v>
      </c>
      <c r="K29" s="908">
        <v>1</v>
      </c>
      <c r="L29" s="909">
        <f>IF(I29="Cantidad",AF29,IF(ISERROR(AF29/AG29),0,AF29/AG29))</f>
        <v>1</v>
      </c>
      <c r="M29" s="910">
        <f>IF(ISERROR(L29/K29),0,(L29/K29))</f>
        <v>1</v>
      </c>
      <c r="N29" s="904">
        <v>1</v>
      </c>
      <c r="O29" s="909">
        <f t="shared" si="6"/>
        <v>1</v>
      </c>
      <c r="P29" s="910">
        <f>IF(ISERROR(O29/N29),0,(O29/N29))</f>
        <v>1</v>
      </c>
      <c r="Q29" s="904">
        <v>1</v>
      </c>
      <c r="R29" s="909">
        <f t="shared" si="7"/>
        <v>1</v>
      </c>
      <c r="S29" s="910">
        <f>IF(ISERROR(R29/Q29),0,(R29/Q29))</f>
        <v>1</v>
      </c>
      <c r="T29" s="904">
        <v>1</v>
      </c>
      <c r="U29" s="909">
        <f t="shared" si="8"/>
        <v>0</v>
      </c>
      <c r="V29" s="910">
        <f>IF(ISERROR(U29/T29),0,(U29/T29))</f>
        <v>0</v>
      </c>
      <c r="W29" s="925">
        <f>IF(J29="SUMA",(K29+N29+Q29+T29),(K29))</f>
        <v>4</v>
      </c>
      <c r="X29" s="909">
        <f t="shared" si="12"/>
        <v>3</v>
      </c>
      <c r="Y29" s="926">
        <f t="shared" si="10"/>
        <v>0.75</v>
      </c>
      <c r="Z29" s="912">
        <f t="shared" si="5"/>
        <v>0.1875</v>
      </c>
      <c r="AA29" s="913" t="s">
        <v>377</v>
      </c>
      <c r="AB29" s="904" t="s">
        <v>523</v>
      </c>
      <c r="AC29" s="904" t="s">
        <v>524</v>
      </c>
      <c r="AD29" s="914" t="s">
        <v>43</v>
      </c>
      <c r="AE29" s="954" t="s">
        <v>415</v>
      </c>
      <c r="AF29" s="996">
        <f>+'PE01'!AF15</f>
        <v>1</v>
      </c>
      <c r="AG29" s="997">
        <f>+'PE01'!AG15</f>
        <v>1</v>
      </c>
      <c r="AH29" s="916"/>
      <c r="AI29" s="1312">
        <f>+'PE01'!AI15</f>
        <v>1</v>
      </c>
      <c r="AJ29" s="1313">
        <f>+'PE01'!AJ15</f>
        <v>1</v>
      </c>
      <c r="AK29" s="1003"/>
      <c r="AL29" s="917">
        <v>1</v>
      </c>
      <c r="AM29" s="918">
        <v>1</v>
      </c>
      <c r="AN29" s="1004"/>
      <c r="AO29" s="1006"/>
      <c r="AP29" s="1007"/>
      <c r="AQ29" s="1004"/>
      <c r="AR29" s="1543"/>
      <c r="AS29" s="1544"/>
    </row>
    <row r="30" spans="1:45" s="903" customFormat="1" ht="60" x14ac:dyDescent="0.2">
      <c r="A30" s="1545"/>
      <c r="B30" s="1546"/>
      <c r="C30" s="1546"/>
      <c r="D30" s="1549"/>
      <c r="E30" s="904" t="s">
        <v>722</v>
      </c>
      <c r="F30" s="909" t="s">
        <v>260</v>
      </c>
      <c r="G30" s="909">
        <v>11</v>
      </c>
      <c r="H30" s="906">
        <v>0.25</v>
      </c>
      <c r="I30" s="906" t="s">
        <v>42</v>
      </c>
      <c r="J30" s="907" t="s">
        <v>40</v>
      </c>
      <c r="K30" s="908">
        <v>2</v>
      </c>
      <c r="L30" s="909">
        <f t="shared" ref="L30:L39" si="17">IF(I30="Cantidad",AF30,IF(ISERROR(AF30/AG30),0,AF30/AG30))</f>
        <v>2</v>
      </c>
      <c r="M30" s="910">
        <f t="shared" ref="M30:M39" si="18">IF(ISERROR(L30/K30),0,(L30/K30))</f>
        <v>1</v>
      </c>
      <c r="N30" s="904">
        <v>3</v>
      </c>
      <c r="O30" s="909">
        <f t="shared" si="6"/>
        <v>3</v>
      </c>
      <c r="P30" s="910">
        <f t="shared" ref="P30:P39" si="19">IF(ISERROR(O30/N30),0,(O30/N30))</f>
        <v>1</v>
      </c>
      <c r="Q30" s="904">
        <v>3</v>
      </c>
      <c r="R30" s="909">
        <f t="shared" si="7"/>
        <v>3</v>
      </c>
      <c r="S30" s="910">
        <f t="shared" ref="S30:S39" si="20">IF(ISERROR(R30/Q30),0,(R30/Q30))</f>
        <v>1</v>
      </c>
      <c r="T30" s="904">
        <v>3</v>
      </c>
      <c r="U30" s="909">
        <f t="shared" si="8"/>
        <v>0</v>
      </c>
      <c r="V30" s="910">
        <f t="shared" ref="V30:V39" si="21">IF(ISERROR(U30/T30),0,(U30/T30))</f>
        <v>0</v>
      </c>
      <c r="W30" s="925">
        <f t="shared" ref="W30:W39" si="22">IF(J30="SUMA",(K30+N30+Q30+T30),(K30))</f>
        <v>11</v>
      </c>
      <c r="X30" s="909">
        <f t="shared" si="12"/>
        <v>8</v>
      </c>
      <c r="Y30" s="926">
        <f t="shared" si="10"/>
        <v>0.72727272727272729</v>
      </c>
      <c r="Z30" s="912">
        <f t="shared" si="5"/>
        <v>0.18181818181818182</v>
      </c>
      <c r="AA30" s="913" t="s">
        <v>378</v>
      </c>
      <c r="AB30" s="904" t="s">
        <v>525</v>
      </c>
      <c r="AC30" s="904" t="s">
        <v>526</v>
      </c>
      <c r="AD30" s="914" t="s">
        <v>43</v>
      </c>
      <c r="AE30" s="954" t="s">
        <v>417</v>
      </c>
      <c r="AF30" s="996">
        <f>+'PE01'!AF16</f>
        <v>2</v>
      </c>
      <c r="AG30" s="997">
        <f>+'PE01'!AG16</f>
        <v>2</v>
      </c>
      <c r="AH30" s="916"/>
      <c r="AI30" s="1312">
        <f>+'PE01'!AI16</f>
        <v>3</v>
      </c>
      <c r="AJ30" s="1313">
        <f>+'PE01'!AJ16</f>
        <v>3</v>
      </c>
      <c r="AK30" s="1003"/>
      <c r="AL30" s="917">
        <v>3</v>
      </c>
      <c r="AM30" s="918">
        <v>3</v>
      </c>
      <c r="AN30" s="1004"/>
      <c r="AO30" s="1006"/>
      <c r="AP30" s="1007"/>
      <c r="AQ30" s="1004"/>
      <c r="AR30" s="1543"/>
      <c r="AS30" s="1544"/>
    </row>
    <row r="31" spans="1:45" s="903" customFormat="1" ht="60" x14ac:dyDescent="0.2">
      <c r="A31" s="1545"/>
      <c r="B31" s="1546"/>
      <c r="C31" s="1546"/>
      <c r="D31" s="1549"/>
      <c r="E31" s="904" t="s">
        <v>723</v>
      </c>
      <c r="F31" s="909" t="s">
        <v>527</v>
      </c>
      <c r="G31" s="906">
        <v>1</v>
      </c>
      <c r="H31" s="906">
        <v>0.25</v>
      </c>
      <c r="I31" s="906" t="s">
        <v>39</v>
      </c>
      <c r="J31" s="907" t="s">
        <v>106</v>
      </c>
      <c r="K31" s="953">
        <v>1</v>
      </c>
      <c r="L31" s="909">
        <f t="shared" si="17"/>
        <v>1</v>
      </c>
      <c r="M31" s="910">
        <f t="shared" si="18"/>
        <v>1</v>
      </c>
      <c r="N31" s="906">
        <v>1</v>
      </c>
      <c r="O31" s="1232">
        <f t="shared" si="6"/>
        <v>1</v>
      </c>
      <c r="P31" s="910">
        <f t="shared" si="19"/>
        <v>1</v>
      </c>
      <c r="Q31" s="906">
        <v>0</v>
      </c>
      <c r="R31" s="909">
        <f t="shared" si="7"/>
        <v>1</v>
      </c>
      <c r="S31" s="910">
        <f t="shared" si="20"/>
        <v>0</v>
      </c>
      <c r="T31" s="906">
        <v>0</v>
      </c>
      <c r="U31" s="909">
        <f t="shared" si="8"/>
        <v>0</v>
      </c>
      <c r="V31" s="910">
        <f t="shared" si="21"/>
        <v>0</v>
      </c>
      <c r="W31" s="923">
        <f>IF(J31="PORCENTAJE",(K31+N31+Q31+T31),(K31))</f>
        <v>1</v>
      </c>
      <c r="X31" s="909">
        <f t="shared" si="12"/>
        <v>0.75</v>
      </c>
      <c r="Y31" s="926">
        <f t="shared" si="10"/>
        <v>0.75</v>
      </c>
      <c r="Z31" s="912">
        <f t="shared" si="5"/>
        <v>0.1875</v>
      </c>
      <c r="AA31" s="913" t="s">
        <v>528</v>
      </c>
      <c r="AB31" s="904" t="s">
        <v>356</v>
      </c>
      <c r="AC31" s="904" t="s">
        <v>529</v>
      </c>
      <c r="AD31" s="914" t="s">
        <v>43</v>
      </c>
      <c r="AE31" s="954" t="s">
        <v>419</v>
      </c>
      <c r="AF31" s="996">
        <f>+'PE01'!AF17</f>
        <v>5</v>
      </c>
      <c r="AG31" s="997">
        <f>+'PE01'!AG17</f>
        <v>5</v>
      </c>
      <c r="AH31" s="916"/>
      <c r="AI31" s="1312">
        <f>+'PE01'!AI17</f>
        <v>8</v>
      </c>
      <c r="AJ31" s="1313">
        <f>+'PE01'!AJ17</f>
        <v>8</v>
      </c>
      <c r="AK31" s="1003"/>
      <c r="AL31" s="917">
        <v>8</v>
      </c>
      <c r="AM31" s="918">
        <v>8</v>
      </c>
      <c r="AN31" s="1004"/>
      <c r="AO31" s="1006"/>
      <c r="AP31" s="1007"/>
      <c r="AQ31" s="1004"/>
      <c r="AR31" s="1543"/>
      <c r="AS31" s="1544"/>
    </row>
    <row r="32" spans="1:45" s="903" customFormat="1" ht="45.75" thickBot="1" x14ac:dyDescent="0.25">
      <c r="A32" s="1534"/>
      <c r="B32" s="1536"/>
      <c r="C32" s="1536"/>
      <c r="D32" s="1551"/>
      <c r="E32" s="933" t="s">
        <v>724</v>
      </c>
      <c r="F32" s="928" t="s">
        <v>531</v>
      </c>
      <c r="G32" s="928">
        <v>2</v>
      </c>
      <c r="H32" s="929">
        <v>0.25</v>
      </c>
      <c r="I32" s="929" t="s">
        <v>42</v>
      </c>
      <c r="J32" s="930" t="s">
        <v>40</v>
      </c>
      <c r="K32" s="992">
        <v>1</v>
      </c>
      <c r="L32" s="928">
        <f t="shared" si="17"/>
        <v>1</v>
      </c>
      <c r="M32" s="934">
        <f t="shared" si="18"/>
        <v>1</v>
      </c>
      <c r="N32" s="933">
        <v>1</v>
      </c>
      <c r="O32" s="928">
        <f t="shared" si="6"/>
        <v>1</v>
      </c>
      <c r="P32" s="934">
        <f t="shared" si="19"/>
        <v>1</v>
      </c>
      <c r="Q32" s="933">
        <v>1</v>
      </c>
      <c r="R32" s="928">
        <f t="shared" si="7"/>
        <v>1</v>
      </c>
      <c r="S32" s="934">
        <f t="shared" si="20"/>
        <v>1</v>
      </c>
      <c r="T32" s="933">
        <v>1</v>
      </c>
      <c r="U32" s="928">
        <f t="shared" si="8"/>
        <v>0</v>
      </c>
      <c r="V32" s="934">
        <f t="shared" si="21"/>
        <v>0</v>
      </c>
      <c r="W32" s="1008">
        <f t="shared" si="22"/>
        <v>4</v>
      </c>
      <c r="X32" s="928">
        <f t="shared" si="12"/>
        <v>3</v>
      </c>
      <c r="Y32" s="935">
        <f t="shared" si="10"/>
        <v>0.75</v>
      </c>
      <c r="Z32" s="936">
        <f t="shared" si="5"/>
        <v>0.1875</v>
      </c>
      <c r="AA32" s="937" t="s">
        <v>530</v>
      </c>
      <c r="AB32" s="933" t="s">
        <v>352</v>
      </c>
      <c r="AC32" s="933" t="s">
        <v>353</v>
      </c>
      <c r="AD32" s="938" t="s">
        <v>43</v>
      </c>
      <c r="AE32" s="963" t="s">
        <v>418</v>
      </c>
      <c r="AF32" s="1009">
        <f>+'PE01'!AF18</f>
        <v>1</v>
      </c>
      <c r="AG32" s="1010">
        <f>+'PE01'!AG18</f>
        <v>1</v>
      </c>
      <c r="AH32" s="1011"/>
      <c r="AI32" s="1305">
        <f>+'PE01'!AI18</f>
        <v>1</v>
      </c>
      <c r="AJ32" s="1030">
        <f>+'PE01'!AJ18</f>
        <v>1</v>
      </c>
      <c r="AK32" s="1014"/>
      <c r="AL32" s="942">
        <v>1</v>
      </c>
      <c r="AM32" s="943">
        <v>1</v>
      </c>
      <c r="AN32" s="1015"/>
      <c r="AO32" s="1012"/>
      <c r="AP32" s="1013"/>
      <c r="AQ32" s="1015"/>
      <c r="AR32" s="1540"/>
      <c r="AS32" s="1542"/>
    </row>
    <row r="33" spans="1:45" s="903" customFormat="1" ht="60" x14ac:dyDescent="0.2">
      <c r="A33" s="1559" t="s">
        <v>598</v>
      </c>
      <c r="B33" s="1535">
        <v>7</v>
      </c>
      <c r="C33" s="1535" t="s">
        <v>267</v>
      </c>
      <c r="D33" s="1548">
        <v>0.11</v>
      </c>
      <c r="E33" s="1084" t="s">
        <v>560</v>
      </c>
      <c r="F33" s="893" t="s">
        <v>262</v>
      </c>
      <c r="G33" s="893">
        <v>3472</v>
      </c>
      <c r="H33" s="890">
        <v>0.15</v>
      </c>
      <c r="I33" s="890" t="s">
        <v>39</v>
      </c>
      <c r="J33" s="891" t="s">
        <v>106</v>
      </c>
      <c r="K33" s="987">
        <v>1</v>
      </c>
      <c r="L33" s="1183">
        <f t="shared" si="17"/>
        <v>2.7281021897810218</v>
      </c>
      <c r="M33" s="894">
        <f t="shared" si="18"/>
        <v>2.7281021897810218</v>
      </c>
      <c r="N33" s="1183">
        <v>1</v>
      </c>
      <c r="O33" s="1340">
        <f t="shared" si="6"/>
        <v>3.4315068493150687</v>
      </c>
      <c r="P33" s="894">
        <f t="shared" si="19"/>
        <v>3.4315068493150687</v>
      </c>
      <c r="Q33" s="1183">
        <v>1</v>
      </c>
      <c r="R33" s="893">
        <f t="shared" si="7"/>
        <v>4.5829875518672196</v>
      </c>
      <c r="S33" s="894">
        <f t="shared" si="20"/>
        <v>4.5829875518672196</v>
      </c>
      <c r="T33" s="1183">
        <v>1</v>
      </c>
      <c r="U33" s="893">
        <f t="shared" si="8"/>
        <v>0</v>
      </c>
      <c r="V33" s="894">
        <f t="shared" si="21"/>
        <v>0</v>
      </c>
      <c r="W33" s="1084">
        <f t="shared" si="22"/>
        <v>1</v>
      </c>
      <c r="X33" s="893">
        <f t="shared" si="12"/>
        <v>2.6856491477408273</v>
      </c>
      <c r="Y33" s="947">
        <f t="shared" si="10"/>
        <v>2.6856491477408273</v>
      </c>
      <c r="Z33" s="896">
        <f t="shared" si="5"/>
        <v>0.4028473721611241</v>
      </c>
      <c r="AA33" s="897" t="s">
        <v>544</v>
      </c>
      <c r="AB33" s="888" t="s">
        <v>379</v>
      </c>
      <c r="AC33" s="888" t="s">
        <v>380</v>
      </c>
      <c r="AD33" s="898" t="s">
        <v>43</v>
      </c>
      <c r="AE33" s="899" t="s">
        <v>357</v>
      </c>
      <c r="AF33" s="1114">
        <f>+'PE03'!AF11</f>
        <v>1495</v>
      </c>
      <c r="AG33" s="989">
        <f>+'PE03'!AG11</f>
        <v>548</v>
      </c>
      <c r="AH33" s="1310"/>
      <c r="AI33" s="900">
        <f>+'PE03'!AI11</f>
        <v>1503</v>
      </c>
      <c r="AJ33" s="901">
        <f>+'PE03'!AJ11</f>
        <v>438</v>
      </c>
      <c r="AK33" s="1239"/>
      <c r="AL33" s="1384">
        <v>2209</v>
      </c>
      <c r="AM33" s="901">
        <v>482</v>
      </c>
      <c r="AN33" s="1000"/>
      <c r="AO33" s="1087"/>
      <c r="AP33" s="1085"/>
      <c r="AQ33" s="1000"/>
      <c r="AR33" s="1539" t="s">
        <v>721</v>
      </c>
      <c r="AS33" s="1541">
        <f>SUM(Z33:Z39)</f>
        <v>1.0403473721611243</v>
      </c>
    </row>
    <row r="34" spans="1:45" s="903" customFormat="1" ht="30" x14ac:dyDescent="0.2">
      <c r="A34" s="1560"/>
      <c r="B34" s="1546"/>
      <c r="C34" s="1546"/>
      <c r="D34" s="1549"/>
      <c r="E34" s="925" t="s">
        <v>626</v>
      </c>
      <c r="F34" s="909" t="s">
        <v>263</v>
      </c>
      <c r="G34" s="1115">
        <v>95</v>
      </c>
      <c r="H34" s="906">
        <v>0.15</v>
      </c>
      <c r="I34" s="906" t="s">
        <v>39</v>
      </c>
      <c r="J34" s="907" t="s">
        <v>106</v>
      </c>
      <c r="K34" s="1025">
        <v>1</v>
      </c>
      <c r="L34" s="1186">
        <f t="shared" si="17"/>
        <v>1</v>
      </c>
      <c r="M34" s="910">
        <f t="shared" si="18"/>
        <v>1</v>
      </c>
      <c r="N34" s="1186">
        <v>1</v>
      </c>
      <c r="O34" s="1341">
        <f t="shared" si="6"/>
        <v>1</v>
      </c>
      <c r="P34" s="910">
        <f t="shared" si="19"/>
        <v>1</v>
      </c>
      <c r="Q34" s="1186">
        <v>1</v>
      </c>
      <c r="R34" s="909">
        <f t="shared" si="7"/>
        <v>1</v>
      </c>
      <c r="S34" s="910">
        <f t="shared" si="20"/>
        <v>1</v>
      </c>
      <c r="T34" s="1186">
        <v>1</v>
      </c>
      <c r="U34" s="909">
        <f t="shared" si="8"/>
        <v>0</v>
      </c>
      <c r="V34" s="910">
        <f t="shared" si="21"/>
        <v>0</v>
      </c>
      <c r="W34" s="925">
        <f t="shared" si="22"/>
        <v>1</v>
      </c>
      <c r="X34" s="909">
        <f t="shared" si="12"/>
        <v>0.75</v>
      </c>
      <c r="Y34" s="926">
        <f t="shared" si="10"/>
        <v>0.75</v>
      </c>
      <c r="Z34" s="912">
        <f t="shared" si="5"/>
        <v>0.11249999999999999</v>
      </c>
      <c r="AA34" s="913" t="s">
        <v>545</v>
      </c>
      <c r="AB34" s="904" t="s">
        <v>420</v>
      </c>
      <c r="AC34" s="904" t="s">
        <v>381</v>
      </c>
      <c r="AD34" s="914" t="s">
        <v>43</v>
      </c>
      <c r="AE34" s="915" t="s">
        <v>424</v>
      </c>
      <c r="AF34" s="1116">
        <f>+'PE03'!AF12</f>
        <v>29</v>
      </c>
      <c r="AG34" s="1117">
        <f>+'PE03'!AG12</f>
        <v>29</v>
      </c>
      <c r="AH34" s="1299"/>
      <c r="AI34" s="917">
        <f>+'PE03'!AI12</f>
        <v>28</v>
      </c>
      <c r="AJ34" s="918">
        <f>+'PE03'!AJ12</f>
        <v>28</v>
      </c>
      <c r="AK34" s="1238"/>
      <c r="AL34" s="1386">
        <v>74</v>
      </c>
      <c r="AM34" s="918">
        <v>74</v>
      </c>
      <c r="AN34" s="1004"/>
      <c r="AO34" s="1006"/>
      <c r="AP34" s="1007"/>
      <c r="AQ34" s="1004"/>
      <c r="AR34" s="1543"/>
      <c r="AS34" s="1544"/>
    </row>
    <row r="35" spans="1:45" s="903" customFormat="1" ht="30" x14ac:dyDescent="0.2">
      <c r="A35" s="1560"/>
      <c r="B35" s="1546"/>
      <c r="C35" s="1546"/>
      <c r="D35" s="1549"/>
      <c r="E35" s="925" t="s">
        <v>627</v>
      </c>
      <c r="F35" s="909" t="s">
        <v>264</v>
      </c>
      <c r="G35" s="1115">
        <v>69</v>
      </c>
      <c r="H35" s="906">
        <v>0.15</v>
      </c>
      <c r="I35" s="906" t="s">
        <v>39</v>
      </c>
      <c r="J35" s="907" t="s">
        <v>106</v>
      </c>
      <c r="K35" s="1025">
        <v>1</v>
      </c>
      <c r="L35" s="1186">
        <f t="shared" si="17"/>
        <v>1</v>
      </c>
      <c r="M35" s="910">
        <f t="shared" si="18"/>
        <v>1</v>
      </c>
      <c r="N35" s="1186">
        <v>1</v>
      </c>
      <c r="O35" s="1341">
        <f t="shared" si="6"/>
        <v>1</v>
      </c>
      <c r="P35" s="910">
        <f t="shared" si="19"/>
        <v>1</v>
      </c>
      <c r="Q35" s="1186">
        <v>1</v>
      </c>
      <c r="R35" s="909">
        <f t="shared" si="7"/>
        <v>1</v>
      </c>
      <c r="S35" s="910">
        <f t="shared" si="20"/>
        <v>1</v>
      </c>
      <c r="T35" s="1186">
        <v>1</v>
      </c>
      <c r="U35" s="909">
        <f t="shared" si="8"/>
        <v>0</v>
      </c>
      <c r="V35" s="910">
        <f t="shared" si="21"/>
        <v>0</v>
      </c>
      <c r="W35" s="925">
        <f t="shared" si="22"/>
        <v>1</v>
      </c>
      <c r="X35" s="909">
        <f t="shared" si="12"/>
        <v>0.75</v>
      </c>
      <c r="Y35" s="926">
        <f t="shared" si="10"/>
        <v>0.75</v>
      </c>
      <c r="Z35" s="912">
        <f t="shared" si="5"/>
        <v>0.11249999999999999</v>
      </c>
      <c r="AA35" s="913" t="s">
        <v>546</v>
      </c>
      <c r="AB35" s="904" t="s">
        <v>382</v>
      </c>
      <c r="AC35" s="904" t="s">
        <v>383</v>
      </c>
      <c r="AD35" s="914" t="s">
        <v>43</v>
      </c>
      <c r="AE35" s="915" t="s">
        <v>424</v>
      </c>
      <c r="AF35" s="1116">
        <f>+'PE03'!AF13</f>
        <v>35</v>
      </c>
      <c r="AG35" s="1117">
        <f>+'PE03'!AG13</f>
        <v>35</v>
      </c>
      <c r="AH35" s="1299"/>
      <c r="AI35" s="917">
        <f>+'PE03'!AI13</f>
        <v>39</v>
      </c>
      <c r="AJ35" s="918">
        <f>+'PE03'!AJ13</f>
        <v>39</v>
      </c>
      <c r="AK35" s="1238"/>
      <c r="AL35" s="1386">
        <v>64</v>
      </c>
      <c r="AM35" s="918">
        <v>64</v>
      </c>
      <c r="AN35" s="1004"/>
      <c r="AO35" s="1006"/>
      <c r="AP35" s="1007"/>
      <c r="AQ35" s="1004"/>
      <c r="AR35" s="1543"/>
      <c r="AS35" s="1544"/>
    </row>
    <row r="36" spans="1:45" s="903" customFormat="1" ht="60" x14ac:dyDescent="0.2">
      <c r="A36" s="1560"/>
      <c r="B36" s="1546"/>
      <c r="C36" s="1546"/>
      <c r="D36" s="1549"/>
      <c r="E36" s="925" t="s">
        <v>628</v>
      </c>
      <c r="F36" s="909" t="s">
        <v>301</v>
      </c>
      <c r="G36" s="1115">
        <v>7849</v>
      </c>
      <c r="H36" s="906">
        <v>0.15</v>
      </c>
      <c r="I36" s="906" t="s">
        <v>39</v>
      </c>
      <c r="J36" s="907" t="s">
        <v>106</v>
      </c>
      <c r="K36" s="1025">
        <v>1</v>
      </c>
      <c r="L36" s="1186">
        <f t="shared" si="17"/>
        <v>1</v>
      </c>
      <c r="M36" s="910">
        <f t="shared" si="18"/>
        <v>1</v>
      </c>
      <c r="N36" s="1186">
        <v>1</v>
      </c>
      <c r="O36" s="1341">
        <f t="shared" si="6"/>
        <v>1</v>
      </c>
      <c r="P36" s="910">
        <f t="shared" si="19"/>
        <v>1</v>
      </c>
      <c r="Q36" s="1186">
        <v>1</v>
      </c>
      <c r="R36" s="909">
        <f t="shared" si="7"/>
        <v>1</v>
      </c>
      <c r="S36" s="910">
        <f t="shared" si="20"/>
        <v>1</v>
      </c>
      <c r="T36" s="1186">
        <v>1</v>
      </c>
      <c r="U36" s="909">
        <f t="shared" si="8"/>
        <v>0</v>
      </c>
      <c r="V36" s="910">
        <f t="shared" si="21"/>
        <v>0</v>
      </c>
      <c r="W36" s="925">
        <f t="shared" si="22"/>
        <v>1</v>
      </c>
      <c r="X36" s="909">
        <f t="shared" si="12"/>
        <v>0.75</v>
      </c>
      <c r="Y36" s="926">
        <f t="shared" si="10"/>
        <v>0.75</v>
      </c>
      <c r="Z36" s="912">
        <f t="shared" si="5"/>
        <v>0.11249999999999999</v>
      </c>
      <c r="AA36" s="913" t="s">
        <v>547</v>
      </c>
      <c r="AB36" s="904" t="s">
        <v>384</v>
      </c>
      <c r="AC36" s="904" t="s">
        <v>385</v>
      </c>
      <c r="AD36" s="914" t="s">
        <v>43</v>
      </c>
      <c r="AE36" s="915" t="s">
        <v>425</v>
      </c>
      <c r="AF36" s="1116">
        <f>+'PE03'!AF14</f>
        <v>1705</v>
      </c>
      <c r="AG36" s="1117">
        <f>+'PE03'!AG14</f>
        <v>1705</v>
      </c>
      <c r="AH36" s="1299"/>
      <c r="AI36" s="917">
        <f>+'PE03'!AI14</f>
        <v>2227</v>
      </c>
      <c r="AJ36" s="918">
        <f>+'PE03'!AJ14</f>
        <v>2227</v>
      </c>
      <c r="AK36" s="1238"/>
      <c r="AL36" s="1386">
        <v>1881</v>
      </c>
      <c r="AM36" s="918">
        <v>1881</v>
      </c>
      <c r="AN36" s="1004"/>
      <c r="AO36" s="1006"/>
      <c r="AP36" s="1007"/>
      <c r="AQ36" s="1004"/>
      <c r="AR36" s="1543"/>
      <c r="AS36" s="1544"/>
    </row>
    <row r="37" spans="1:45" s="903" customFormat="1" ht="45" x14ac:dyDescent="0.2">
      <c r="A37" s="1560"/>
      <c r="B37" s="1546"/>
      <c r="C37" s="1546"/>
      <c r="D37" s="1549"/>
      <c r="E37" s="925" t="s">
        <v>629</v>
      </c>
      <c r="F37" s="909" t="s">
        <v>265</v>
      </c>
      <c r="G37" s="1115">
        <v>61</v>
      </c>
      <c r="H37" s="906">
        <v>0.15</v>
      </c>
      <c r="I37" s="906" t="s">
        <v>39</v>
      </c>
      <c r="J37" s="907" t="s">
        <v>106</v>
      </c>
      <c r="K37" s="1025">
        <v>1</v>
      </c>
      <c r="L37" s="1186">
        <f t="shared" si="17"/>
        <v>1</v>
      </c>
      <c r="M37" s="910">
        <f t="shared" si="18"/>
        <v>1</v>
      </c>
      <c r="N37" s="1186">
        <v>1</v>
      </c>
      <c r="O37" s="1341">
        <f t="shared" si="6"/>
        <v>1</v>
      </c>
      <c r="P37" s="910">
        <f t="shared" si="19"/>
        <v>1</v>
      </c>
      <c r="Q37" s="1186">
        <v>1</v>
      </c>
      <c r="R37" s="909">
        <f t="shared" si="7"/>
        <v>1</v>
      </c>
      <c r="S37" s="910">
        <f t="shared" si="20"/>
        <v>1</v>
      </c>
      <c r="T37" s="1186">
        <v>1</v>
      </c>
      <c r="U37" s="909">
        <f t="shared" si="8"/>
        <v>0</v>
      </c>
      <c r="V37" s="910">
        <f t="shared" si="21"/>
        <v>0</v>
      </c>
      <c r="W37" s="925">
        <f t="shared" si="22"/>
        <v>1</v>
      </c>
      <c r="X37" s="909">
        <f t="shared" si="12"/>
        <v>0.75</v>
      </c>
      <c r="Y37" s="926">
        <f t="shared" si="10"/>
        <v>0.75</v>
      </c>
      <c r="Z37" s="912">
        <f t="shared" si="5"/>
        <v>0.11249999999999999</v>
      </c>
      <c r="AA37" s="913" t="s">
        <v>548</v>
      </c>
      <c r="AB37" s="904" t="s">
        <v>386</v>
      </c>
      <c r="AC37" s="904" t="s">
        <v>387</v>
      </c>
      <c r="AD37" s="914" t="s">
        <v>43</v>
      </c>
      <c r="AE37" s="915" t="s">
        <v>357</v>
      </c>
      <c r="AF37" s="1116">
        <f>+'PE03'!AF15</f>
        <v>11</v>
      </c>
      <c r="AG37" s="1117">
        <f>+'PE03'!AG15</f>
        <v>11</v>
      </c>
      <c r="AH37" s="1299"/>
      <c r="AI37" s="917">
        <f>+'PE03'!AI15</f>
        <v>13</v>
      </c>
      <c r="AJ37" s="918">
        <f>+'PE03'!AJ15</f>
        <v>13</v>
      </c>
      <c r="AK37" s="1238"/>
      <c r="AL37" s="1386">
        <v>17</v>
      </c>
      <c r="AM37" s="918">
        <v>17</v>
      </c>
      <c r="AN37" s="1004"/>
      <c r="AO37" s="1006"/>
      <c r="AP37" s="1007"/>
      <c r="AQ37" s="1004"/>
      <c r="AR37" s="1543"/>
      <c r="AS37" s="1544"/>
    </row>
    <row r="38" spans="1:45" s="903" customFormat="1" ht="30" x14ac:dyDescent="0.2">
      <c r="A38" s="1560"/>
      <c r="B38" s="1546"/>
      <c r="C38" s="1546"/>
      <c r="D38" s="1549"/>
      <c r="E38" s="925" t="s">
        <v>648</v>
      </c>
      <c r="F38" s="909" t="s">
        <v>269</v>
      </c>
      <c r="G38" s="1115">
        <v>203</v>
      </c>
      <c r="H38" s="906">
        <v>0.15</v>
      </c>
      <c r="I38" s="906" t="s">
        <v>39</v>
      </c>
      <c r="J38" s="907" t="s">
        <v>106</v>
      </c>
      <c r="K38" s="1025">
        <v>1</v>
      </c>
      <c r="L38" s="1186">
        <f t="shared" si="17"/>
        <v>1</v>
      </c>
      <c r="M38" s="910">
        <f t="shared" si="18"/>
        <v>1</v>
      </c>
      <c r="N38" s="1186">
        <v>1</v>
      </c>
      <c r="O38" s="1341">
        <f t="shared" si="6"/>
        <v>1</v>
      </c>
      <c r="P38" s="910">
        <f t="shared" si="19"/>
        <v>1</v>
      </c>
      <c r="Q38" s="1186">
        <v>1</v>
      </c>
      <c r="R38" s="909">
        <f t="shared" si="7"/>
        <v>1</v>
      </c>
      <c r="S38" s="910">
        <f t="shared" si="20"/>
        <v>1</v>
      </c>
      <c r="T38" s="1186">
        <v>1</v>
      </c>
      <c r="U38" s="909">
        <f t="shared" si="8"/>
        <v>0</v>
      </c>
      <c r="V38" s="910">
        <f t="shared" si="21"/>
        <v>0</v>
      </c>
      <c r="W38" s="925">
        <f t="shared" si="22"/>
        <v>1</v>
      </c>
      <c r="X38" s="909">
        <f t="shared" si="12"/>
        <v>0.75</v>
      </c>
      <c r="Y38" s="926">
        <f t="shared" si="10"/>
        <v>0.75</v>
      </c>
      <c r="Z38" s="912">
        <f t="shared" si="5"/>
        <v>0.11249999999999999</v>
      </c>
      <c r="AA38" s="913" t="s">
        <v>549</v>
      </c>
      <c r="AB38" s="904" t="s">
        <v>550</v>
      </c>
      <c r="AC38" s="904" t="s">
        <v>551</v>
      </c>
      <c r="AD38" s="914" t="s">
        <v>43</v>
      </c>
      <c r="AE38" s="915" t="s">
        <v>357</v>
      </c>
      <c r="AF38" s="1116">
        <f>+'PE03'!AF16</f>
        <v>87</v>
      </c>
      <c r="AG38" s="1117">
        <f>+'PE03'!AG16</f>
        <v>87</v>
      </c>
      <c r="AH38" s="1299"/>
      <c r="AI38" s="917">
        <f>+'PE03'!AI16</f>
        <v>68</v>
      </c>
      <c r="AJ38" s="918">
        <f>+'PE03'!AJ16</f>
        <v>68</v>
      </c>
      <c r="AK38" s="1238"/>
      <c r="AL38" s="1386">
        <v>63</v>
      </c>
      <c r="AM38" s="918">
        <v>63</v>
      </c>
      <c r="AN38" s="1004"/>
      <c r="AO38" s="1006"/>
      <c r="AP38" s="1007"/>
      <c r="AQ38" s="1004"/>
      <c r="AR38" s="1543"/>
      <c r="AS38" s="1544"/>
    </row>
    <row r="39" spans="1:45" s="903" customFormat="1" ht="75.75" thickBot="1" x14ac:dyDescent="0.25">
      <c r="A39" s="1561"/>
      <c r="B39" s="1536"/>
      <c r="C39" s="1536"/>
      <c r="D39" s="1551"/>
      <c r="E39" s="1008" t="s">
        <v>630</v>
      </c>
      <c r="F39" s="990" t="s">
        <v>266</v>
      </c>
      <c r="G39" s="990">
        <v>372</v>
      </c>
      <c r="H39" s="929">
        <v>0.1</v>
      </c>
      <c r="I39" s="929" t="s">
        <v>39</v>
      </c>
      <c r="J39" s="930" t="s">
        <v>106</v>
      </c>
      <c r="K39" s="1043">
        <v>1</v>
      </c>
      <c r="L39" s="1194">
        <f t="shared" si="17"/>
        <v>1</v>
      </c>
      <c r="M39" s="1045">
        <f t="shared" si="18"/>
        <v>1</v>
      </c>
      <c r="N39" s="1194">
        <v>1</v>
      </c>
      <c r="O39" s="1342">
        <f t="shared" si="6"/>
        <v>1</v>
      </c>
      <c r="P39" s="1045">
        <f t="shared" si="19"/>
        <v>1</v>
      </c>
      <c r="Q39" s="1194">
        <v>1</v>
      </c>
      <c r="R39" s="941">
        <f t="shared" si="7"/>
        <v>1</v>
      </c>
      <c r="S39" s="1045">
        <f t="shared" si="20"/>
        <v>1</v>
      </c>
      <c r="T39" s="1194">
        <v>1</v>
      </c>
      <c r="U39" s="941">
        <f t="shared" si="8"/>
        <v>0</v>
      </c>
      <c r="V39" s="1045">
        <f t="shared" si="21"/>
        <v>0</v>
      </c>
      <c r="W39" s="1101">
        <f t="shared" si="22"/>
        <v>1</v>
      </c>
      <c r="X39" s="941">
        <f t="shared" si="12"/>
        <v>0.75</v>
      </c>
      <c r="Y39" s="1102">
        <f t="shared" si="10"/>
        <v>0.75</v>
      </c>
      <c r="Z39" s="936">
        <f t="shared" si="5"/>
        <v>7.5000000000000011E-2</v>
      </c>
      <c r="AA39" s="937" t="s">
        <v>552</v>
      </c>
      <c r="AB39" s="933" t="s">
        <v>553</v>
      </c>
      <c r="AC39" s="933" t="s">
        <v>554</v>
      </c>
      <c r="AD39" s="938" t="s">
        <v>43</v>
      </c>
      <c r="AE39" s="939" t="s">
        <v>426</v>
      </c>
      <c r="AF39" s="1118">
        <f>+'PE03'!AF17</f>
        <v>142</v>
      </c>
      <c r="AG39" s="994">
        <f>+'PE03'!AG17</f>
        <v>142</v>
      </c>
      <c r="AH39" s="1311"/>
      <c r="AI39" s="1315">
        <f>+'PE03'!AI17</f>
        <v>205</v>
      </c>
      <c r="AJ39" s="1316">
        <f>+'PE03'!AJ17</f>
        <v>205</v>
      </c>
      <c r="AK39" s="1317"/>
      <c r="AL39" s="1385">
        <v>251</v>
      </c>
      <c r="AM39" s="943">
        <v>251</v>
      </c>
      <c r="AN39" s="1015"/>
      <c r="AO39" s="1012"/>
      <c r="AP39" s="1013"/>
      <c r="AQ39" s="1015"/>
      <c r="AR39" s="1540"/>
      <c r="AS39" s="1542"/>
    </row>
    <row r="40" spans="1:45" s="1021" customFormat="1" ht="60" x14ac:dyDescent="0.25">
      <c r="A40" s="1533" t="s">
        <v>598</v>
      </c>
      <c r="B40" s="1576">
        <v>8</v>
      </c>
      <c r="C40" s="1573" t="s">
        <v>251</v>
      </c>
      <c r="D40" s="1548">
        <v>0.03</v>
      </c>
      <c r="E40" s="888" t="s">
        <v>561</v>
      </c>
      <c r="F40" s="893" t="s">
        <v>732</v>
      </c>
      <c r="G40" s="1016">
        <v>1</v>
      </c>
      <c r="H40" s="890">
        <v>0.34</v>
      </c>
      <c r="I40" s="890" t="s">
        <v>39</v>
      </c>
      <c r="J40" s="891" t="s">
        <v>106</v>
      </c>
      <c r="K40" s="1278">
        <v>1</v>
      </c>
      <c r="L40" s="1295">
        <f>IF(I40="Cantidad",AF40,IF(ISERROR(AF40/AG40),0,AF40/AG40))</f>
        <v>1</v>
      </c>
      <c r="M40" s="1056">
        <f>IF(ISERROR(L40/K40),0,(L40/K40))</f>
        <v>1</v>
      </c>
      <c r="N40" s="1191">
        <v>1</v>
      </c>
      <c r="O40" s="1295">
        <f t="shared" si="6"/>
        <v>1</v>
      </c>
      <c r="P40" s="1056">
        <f>IF(ISERROR(O40/N40),0,(O40/N40))</f>
        <v>1</v>
      </c>
      <c r="Q40" s="1191">
        <v>1</v>
      </c>
      <c r="R40" s="1196">
        <f t="shared" si="7"/>
        <v>0</v>
      </c>
      <c r="S40" s="1056">
        <f>IF(ISERROR(R40/Q40),0,(R40/Q40))</f>
        <v>0</v>
      </c>
      <c r="T40" s="1191">
        <v>1</v>
      </c>
      <c r="U40" s="1196">
        <f t="shared" si="8"/>
        <v>0</v>
      </c>
      <c r="V40" s="1056">
        <f>IF(ISERROR(U40/T40),0,(U40/T40))</f>
        <v>0</v>
      </c>
      <c r="W40" s="1191">
        <f>IF(J40="SUMA",(K40+N40+Q40+T40),(K40))</f>
        <v>1</v>
      </c>
      <c r="X40" s="1196">
        <f>IF(ISERROR(AVERAGE(L40,O40,R40,U40)),0,IF(J40="Suma",(L40+O40+R40+U40),AVERAGE(L40,O40,R40,U40)))</f>
        <v>0.5</v>
      </c>
      <c r="Y40" s="1056">
        <f>IF(ISERROR(X40/W40),0,(X40/W40))</f>
        <v>0.5</v>
      </c>
      <c r="Z40" s="1018">
        <f>+Y40*H40</f>
        <v>0.17</v>
      </c>
      <c r="AA40" s="1019" t="s">
        <v>534</v>
      </c>
      <c r="AB40" s="968" t="s">
        <v>535</v>
      </c>
      <c r="AC40" s="968" t="s">
        <v>536</v>
      </c>
      <c r="AD40" s="977" t="s">
        <v>43</v>
      </c>
      <c r="AE40" s="978" t="s">
        <v>357</v>
      </c>
      <c r="AF40" s="1020">
        <f>+'PA02'!AF11</f>
        <v>237</v>
      </c>
      <c r="AG40" s="997">
        <f>+'PA02'!AG11</f>
        <v>237</v>
      </c>
      <c r="AH40" s="998"/>
      <c r="AI40" s="1312">
        <f>+'PA02'!AI11</f>
        <v>328</v>
      </c>
      <c r="AJ40" s="1313">
        <f>+'PA02'!AJ11</f>
        <v>328</v>
      </c>
      <c r="AK40" s="1314"/>
      <c r="AL40" s="900"/>
      <c r="AM40" s="901"/>
      <c r="AN40" s="1000"/>
      <c r="AO40" s="900"/>
      <c r="AP40" s="901"/>
      <c r="AQ40" s="1000"/>
      <c r="AR40" s="1539" t="s">
        <v>59</v>
      </c>
      <c r="AS40" s="1541">
        <f>(Z43*0.5)+(Z40*0.5)</f>
        <v>0.41243858527631694</v>
      </c>
    </row>
    <row r="41" spans="1:45" s="1021" customFormat="1" ht="60" x14ac:dyDescent="0.25">
      <c r="A41" s="1569"/>
      <c r="B41" s="1577"/>
      <c r="C41" s="1574"/>
      <c r="D41" s="1557"/>
      <c r="E41" s="904" t="s">
        <v>725</v>
      </c>
      <c r="F41" s="909" t="s">
        <v>733</v>
      </c>
      <c r="G41" s="1022">
        <v>1</v>
      </c>
      <c r="H41" s="1023">
        <v>0.33</v>
      </c>
      <c r="I41" s="906" t="s">
        <v>39</v>
      </c>
      <c r="J41" s="907" t="s">
        <v>106</v>
      </c>
      <c r="K41" s="1025">
        <v>1</v>
      </c>
      <c r="L41" s="1294">
        <f t="shared" ref="L41:L42" si="23">IF(I41="Cantidad",AF41,IF(ISERROR(AF41/AG41),0,AF41/AG41))</f>
        <v>1</v>
      </c>
      <c r="M41" s="910">
        <f t="shared" ref="M41:M42" si="24">IF(ISERROR(L41/K41),0,(L41/K41))</f>
        <v>1</v>
      </c>
      <c r="N41" s="923">
        <v>1</v>
      </c>
      <c r="O41" s="1294">
        <f t="shared" si="6"/>
        <v>1</v>
      </c>
      <c r="P41" s="910">
        <f t="shared" ref="P41:P42" si="25">IF(ISERROR(O41/N41),0,(O41/N41))</f>
        <v>1</v>
      </c>
      <c r="Q41" s="923">
        <v>1</v>
      </c>
      <c r="R41" s="909">
        <f t="shared" si="7"/>
        <v>0</v>
      </c>
      <c r="S41" s="910">
        <f t="shared" ref="S41:S42" si="26">IF(ISERROR(R41/Q41),0,(R41/Q41))</f>
        <v>0</v>
      </c>
      <c r="T41" s="923">
        <v>1</v>
      </c>
      <c r="U41" s="909">
        <f t="shared" si="8"/>
        <v>0</v>
      </c>
      <c r="V41" s="910">
        <f t="shared" ref="V41:V42" si="27">IF(ISERROR(U41/T41),0,(U41/T41))</f>
        <v>0</v>
      </c>
      <c r="W41" s="923">
        <f>IF(J41="SUMA",(K41+N41+Q41+T41),(K41))</f>
        <v>1</v>
      </c>
      <c r="X41" s="909">
        <f t="shared" ref="X41:X42" si="28">IF(ISERROR(AVERAGE(L41,O41,R41,U41)),0,IF(J41="Suma",(L41+O41+R41+U41),AVERAGE(L41,O41,R41,U41)))</f>
        <v>0.5</v>
      </c>
      <c r="Y41" s="910">
        <f t="shared" ref="Y41:Y42" si="29">IF(ISERROR(X41/W41),0,(X41/W41))</f>
        <v>0.5</v>
      </c>
      <c r="Z41" s="1026">
        <f t="shared" ref="Z41:Z42" si="30">+Y41*H41</f>
        <v>0.16500000000000001</v>
      </c>
      <c r="AA41" s="1027" t="s">
        <v>534</v>
      </c>
      <c r="AB41" s="904" t="s">
        <v>535</v>
      </c>
      <c r="AC41" s="904" t="s">
        <v>536</v>
      </c>
      <c r="AD41" s="914" t="s">
        <v>43</v>
      </c>
      <c r="AE41" s="954" t="s">
        <v>357</v>
      </c>
      <c r="AF41" s="1020">
        <f>+'PA02'!AF12</f>
        <v>66</v>
      </c>
      <c r="AG41" s="997">
        <f>+'PA02'!AG12</f>
        <v>66</v>
      </c>
      <c r="AH41" s="1028"/>
      <c r="AI41" s="1312">
        <f>+'PA02'!AI12</f>
        <v>90</v>
      </c>
      <c r="AJ41" s="1313">
        <f>+'PA02'!AJ12</f>
        <v>90</v>
      </c>
      <c r="AK41" s="1003"/>
      <c r="AL41" s="917"/>
      <c r="AM41" s="918"/>
      <c r="AN41" s="1004"/>
      <c r="AO41" s="917"/>
      <c r="AP41" s="918"/>
      <c r="AQ41" s="1004"/>
      <c r="AR41" s="1565"/>
      <c r="AS41" s="1552"/>
    </row>
    <row r="42" spans="1:45" s="1021" customFormat="1" ht="60" x14ac:dyDescent="0.25">
      <c r="A42" s="1569"/>
      <c r="B42" s="1555"/>
      <c r="C42" s="1575"/>
      <c r="D42" s="1557"/>
      <c r="E42" s="1033" t="s">
        <v>737</v>
      </c>
      <c r="F42" s="909" t="s">
        <v>734</v>
      </c>
      <c r="G42" s="1034">
        <v>1</v>
      </c>
      <c r="H42" s="1023">
        <v>0.33</v>
      </c>
      <c r="I42" s="906" t="s">
        <v>39</v>
      </c>
      <c r="J42" s="907" t="s">
        <v>106</v>
      </c>
      <c r="K42" s="1025">
        <v>1</v>
      </c>
      <c r="L42" s="1294">
        <f t="shared" si="23"/>
        <v>1</v>
      </c>
      <c r="M42" s="910">
        <f t="shared" si="24"/>
        <v>1</v>
      </c>
      <c r="N42" s="923">
        <v>1</v>
      </c>
      <c r="O42" s="1294">
        <f t="shared" si="6"/>
        <v>1</v>
      </c>
      <c r="P42" s="910">
        <f t="shared" si="25"/>
        <v>1</v>
      </c>
      <c r="Q42" s="923">
        <v>1</v>
      </c>
      <c r="R42" s="909">
        <f t="shared" si="7"/>
        <v>0</v>
      </c>
      <c r="S42" s="910">
        <f t="shared" si="26"/>
        <v>0</v>
      </c>
      <c r="T42" s="923">
        <v>1</v>
      </c>
      <c r="U42" s="909">
        <f t="shared" si="8"/>
        <v>0</v>
      </c>
      <c r="V42" s="910">
        <f t="shared" si="27"/>
        <v>0</v>
      </c>
      <c r="W42" s="923">
        <f>IF(J42="SUMA",(K42+N42+Q42+T42),(K42))</f>
        <v>1</v>
      </c>
      <c r="X42" s="909">
        <f t="shared" si="28"/>
        <v>0.5</v>
      </c>
      <c r="Y42" s="910">
        <f t="shared" si="29"/>
        <v>0.5</v>
      </c>
      <c r="Z42" s="1026">
        <f t="shared" si="30"/>
        <v>0.16500000000000001</v>
      </c>
      <c r="AA42" s="1035" t="s">
        <v>534</v>
      </c>
      <c r="AB42" s="1036" t="s">
        <v>535</v>
      </c>
      <c r="AC42" s="1036" t="s">
        <v>536</v>
      </c>
      <c r="AD42" s="1037" t="s">
        <v>43</v>
      </c>
      <c r="AE42" s="1038" t="s">
        <v>357</v>
      </c>
      <c r="AF42" s="1020">
        <f>+'PA02'!AF13</f>
        <v>48</v>
      </c>
      <c r="AG42" s="997">
        <f>+'PA02'!AG13</f>
        <v>48</v>
      </c>
      <c r="AH42" s="1028"/>
      <c r="AI42" s="1312">
        <f>+'PA02'!AI13</f>
        <v>25</v>
      </c>
      <c r="AJ42" s="1313">
        <f>+'PA02'!AJ13</f>
        <v>25</v>
      </c>
      <c r="AK42" s="1031"/>
      <c r="AL42" s="1029"/>
      <c r="AM42" s="1030"/>
      <c r="AN42" s="1032"/>
      <c r="AO42" s="1029"/>
      <c r="AP42" s="1030"/>
      <c r="AQ42" s="1032"/>
      <c r="AR42" s="1565"/>
      <c r="AS42" s="1552"/>
    </row>
    <row r="43" spans="1:45" s="1021" customFormat="1" ht="75.75" thickBot="1" x14ac:dyDescent="0.3">
      <c r="A43" s="1564"/>
      <c r="B43" s="1039">
        <v>9</v>
      </c>
      <c r="C43" s="941" t="s">
        <v>664</v>
      </c>
      <c r="D43" s="1558"/>
      <c r="E43" s="1039" t="s">
        <v>562</v>
      </c>
      <c r="F43" s="1131" t="s">
        <v>711</v>
      </c>
      <c r="G43" s="1040">
        <v>0.90429999999999999</v>
      </c>
      <c r="H43" s="1041">
        <v>0.5</v>
      </c>
      <c r="I43" s="1041" t="s">
        <v>39</v>
      </c>
      <c r="J43" s="1099" t="s">
        <v>40</v>
      </c>
      <c r="K43" s="962">
        <v>0.78600000000000003</v>
      </c>
      <c r="L43" s="1184">
        <f t="shared" ref="L43:L44" si="31">IF(I43="Cantidad",AF43,IF(ISERROR(AF43/AG43),0,AF43/AG43))</f>
        <v>0.44559551037477346</v>
      </c>
      <c r="M43" s="1189">
        <f t="shared" ref="M43" si="32">IF(ISERROR(L43/K43),0,(L43/K43))</f>
        <v>0.56691540760149295</v>
      </c>
      <c r="N43" s="1184">
        <v>0.185</v>
      </c>
      <c r="O43" s="1230">
        <f t="shared" si="6"/>
        <v>0.86415883073049449</v>
      </c>
      <c r="P43" s="934">
        <f>IF(ISERROR(O43/N43),0,(O43/N43))</f>
        <v>4.6711288147594301</v>
      </c>
      <c r="Q43" s="1279">
        <v>1.47E-2</v>
      </c>
      <c r="R43" s="928">
        <f t="shared" si="7"/>
        <v>0</v>
      </c>
      <c r="S43" s="934">
        <f t="shared" ref="S43" si="33">IF(ISERROR(R43/Q43),0,(R43/Q43))</f>
        <v>0</v>
      </c>
      <c r="T43" s="1279">
        <v>1.43E-2</v>
      </c>
      <c r="U43" s="928">
        <f t="shared" si="8"/>
        <v>0</v>
      </c>
      <c r="V43" s="934">
        <f t="shared" ref="V43" si="34">IF(ISERROR(U43/T43),0,(U43/T43))</f>
        <v>0</v>
      </c>
      <c r="W43" s="928">
        <f t="shared" ref="W43" si="35">IF(J43="SUMA",(K43+N43+Q43+T43),(K43))</f>
        <v>1.0000000000000002</v>
      </c>
      <c r="X43" s="928">
        <f t="shared" ref="X43" si="36">IF(ISERROR(AVERAGE(L43,O43,R43,U43)),0,IF(J43="Suma",(L43+O43+R43+U43),AVERAGE(L43,O43,R43,U43)))</f>
        <v>1.3097543411052679</v>
      </c>
      <c r="Y43" s="934">
        <f t="shared" ref="Y43" si="37">IF(ISERROR(X43/W43),0,(X43/W43))</f>
        <v>1.3097543411052677</v>
      </c>
      <c r="Z43" s="1046">
        <f t="shared" ref="Z43" si="38">+Y43*H43</f>
        <v>0.65487717055263384</v>
      </c>
      <c r="AA43" s="1047" t="s">
        <v>712</v>
      </c>
      <c r="AB43" s="1039" t="s">
        <v>713</v>
      </c>
      <c r="AC43" s="1039" t="s">
        <v>714</v>
      </c>
      <c r="AD43" s="1048" t="s">
        <v>43</v>
      </c>
      <c r="AE43" s="1049" t="s">
        <v>322</v>
      </c>
      <c r="AF43" s="1050">
        <f>+'PA02'!AF14</f>
        <v>7340374604</v>
      </c>
      <c r="AG43" s="1051">
        <f>+'PA02'!AG14</f>
        <v>16473179000</v>
      </c>
      <c r="AH43" s="1052"/>
      <c r="AI43" s="1320">
        <f>+'PA02'!AI14</f>
        <v>5685507827</v>
      </c>
      <c r="AJ43" s="1321">
        <f>+'PA02'!AJ14</f>
        <v>6579239400</v>
      </c>
      <c r="AK43" s="1011"/>
      <c r="AL43" s="942"/>
      <c r="AM43" s="964">
        <v>296968000</v>
      </c>
      <c r="AN43" s="1011"/>
      <c r="AO43" s="942"/>
      <c r="AP43" s="964">
        <v>302022500</v>
      </c>
      <c r="AQ43" s="1011"/>
      <c r="AR43" s="1540"/>
      <c r="AS43" s="1553"/>
    </row>
    <row r="44" spans="1:45" s="1021" customFormat="1" ht="60" x14ac:dyDescent="0.25">
      <c r="A44" s="1554" t="s">
        <v>593</v>
      </c>
      <c r="B44" s="1555">
        <v>10</v>
      </c>
      <c r="C44" s="1555" t="s">
        <v>302</v>
      </c>
      <c r="D44" s="1556">
        <v>0.14000000000000001</v>
      </c>
      <c r="E44" s="1146" t="s">
        <v>563</v>
      </c>
      <c r="F44" s="997" t="s">
        <v>794</v>
      </c>
      <c r="G44" s="1147">
        <v>4237</v>
      </c>
      <c r="H44" s="1142">
        <v>0.2</v>
      </c>
      <c r="I44" s="1142" t="s">
        <v>42</v>
      </c>
      <c r="J44" s="1148" t="s">
        <v>40</v>
      </c>
      <c r="K44" s="1151">
        <v>890</v>
      </c>
      <c r="L44" s="893">
        <f t="shared" si="31"/>
        <v>602</v>
      </c>
      <c r="M44" s="894">
        <f>IF(ISERROR(L44/K44),0,(L44/K44))</f>
        <v>0.67640449438202244</v>
      </c>
      <c r="N44" s="1090">
        <v>1270</v>
      </c>
      <c r="O44" s="893">
        <f t="shared" si="6"/>
        <v>869</v>
      </c>
      <c r="P44" s="894">
        <f>IF(ISERROR(O44/N44),0,(O44/N44))</f>
        <v>0.68425196850393699</v>
      </c>
      <c r="Q44" s="1090">
        <v>1320</v>
      </c>
      <c r="R44" s="893">
        <f t="shared" si="7"/>
        <v>802</v>
      </c>
      <c r="S44" s="894">
        <f>IF(ISERROR(R44/Q44),0,(R44/Q44))</f>
        <v>0.60757575757575755</v>
      </c>
      <c r="T44" s="1090">
        <v>1520</v>
      </c>
      <c r="U44" s="893">
        <f t="shared" si="8"/>
        <v>0</v>
      </c>
      <c r="V44" s="894">
        <f>IF(ISERROR(U44/T44),0,(U44/T44))</f>
        <v>0</v>
      </c>
      <c r="W44" s="1084">
        <f>IF(J44="SUMA",(K44+N44+Q44+T44),(K44))</f>
        <v>5000</v>
      </c>
      <c r="X44" s="893">
        <f>IF(ISERROR(AVERAGE(L44,O44,R44,U44)),0,IF(J44="Suma",(L44+O44+R44+U44),AVERAGE(L44,O44,R44,U44)))</f>
        <v>2273</v>
      </c>
      <c r="Y44" s="947">
        <f>IF(ISERROR(X44/W44),0,(X44/W44))</f>
        <v>0.4546</v>
      </c>
      <c r="Z44" s="1058">
        <f>+Y44*H44</f>
        <v>9.0920000000000001E-2</v>
      </c>
      <c r="AA44" s="897" t="s">
        <v>326</v>
      </c>
      <c r="AB44" s="888" t="s">
        <v>388</v>
      </c>
      <c r="AC44" s="888" t="s">
        <v>435</v>
      </c>
      <c r="AD44" s="898" t="s">
        <v>43</v>
      </c>
      <c r="AE44" s="899" t="s">
        <v>389</v>
      </c>
      <c r="AF44" s="892">
        <f>+'PM 01 y PM05'!AF11</f>
        <v>602</v>
      </c>
      <c r="AG44" s="888">
        <f>+'PM 01 y PM05'!AG11</f>
        <v>890</v>
      </c>
      <c r="AH44" s="1310"/>
      <c r="AI44" s="900">
        <f>+'PM 01 y PM05'!AI11</f>
        <v>869</v>
      </c>
      <c r="AJ44" s="901">
        <f>+'PM 01 y PM05'!AJ11</f>
        <v>1270</v>
      </c>
      <c r="AK44" s="999"/>
      <c r="AL44" s="1384">
        <v>802</v>
      </c>
      <c r="AM44" s="901">
        <v>887</v>
      </c>
      <c r="AN44" s="1000"/>
      <c r="AO44" s="900"/>
      <c r="AP44" s="901"/>
      <c r="AQ44" s="1000"/>
      <c r="AR44" s="1059"/>
      <c r="AS44" s="1000"/>
    </row>
    <row r="45" spans="1:45" s="1021" customFormat="1" ht="45" x14ac:dyDescent="0.25">
      <c r="A45" s="1545"/>
      <c r="B45" s="1546"/>
      <c r="C45" s="1546"/>
      <c r="D45" s="1547"/>
      <c r="E45" s="1060" t="s">
        <v>631</v>
      </c>
      <c r="F45" s="1061" t="s">
        <v>795</v>
      </c>
      <c r="G45" s="909">
        <v>823</v>
      </c>
      <c r="H45" s="906">
        <v>0.15</v>
      </c>
      <c r="I45" s="906" t="s">
        <v>42</v>
      </c>
      <c r="J45" s="907" t="s">
        <v>40</v>
      </c>
      <c r="K45" s="1064">
        <v>235</v>
      </c>
      <c r="L45" s="909">
        <f>IF(I45="Cantidad",AF45,IF(ISERROR(AF45/AG45),0,AF45/AG45))</f>
        <v>196</v>
      </c>
      <c r="M45" s="910">
        <f>IF(ISERROR(L45/K45),0,(L45/K45))</f>
        <v>0.83404255319148934</v>
      </c>
      <c r="N45" s="1062">
        <v>255</v>
      </c>
      <c r="O45" s="909">
        <f t="shared" si="6"/>
        <v>363</v>
      </c>
      <c r="P45" s="910">
        <f>IF(ISERROR(O45/N45),0,(O45/N45))</f>
        <v>1.4235294117647059</v>
      </c>
      <c r="Q45" s="1062">
        <v>255</v>
      </c>
      <c r="R45" s="909">
        <f t="shared" si="7"/>
        <v>3433</v>
      </c>
      <c r="S45" s="910">
        <f>IF(ISERROR(R45/Q45),0,(R45/Q45))</f>
        <v>13.462745098039216</v>
      </c>
      <c r="T45" s="1062">
        <v>255</v>
      </c>
      <c r="U45" s="909">
        <f t="shared" si="8"/>
        <v>0</v>
      </c>
      <c r="V45" s="910">
        <f>IF(ISERROR(U45/T45),0,(U45/T45))</f>
        <v>0</v>
      </c>
      <c r="W45" s="925">
        <f>IF(J45="SUMA",(K45+N45+Q45+T45),(K45))</f>
        <v>1000</v>
      </c>
      <c r="X45" s="909">
        <f>IF(ISERROR(AVERAGE(L45,O45,R45,U45)),0,IF(J45="Suma",(L45+O45+R45+U45),AVERAGE(L45,O45,R45,U45)))</f>
        <v>3992</v>
      </c>
      <c r="Y45" s="926">
        <f>IF(ISERROR(X45/W45),0,(X45/W45))</f>
        <v>3.992</v>
      </c>
      <c r="Z45" s="912">
        <f>+Y45*H45</f>
        <v>0.5988</v>
      </c>
      <c r="AA45" s="913" t="s">
        <v>243</v>
      </c>
      <c r="AB45" s="904" t="s">
        <v>465</v>
      </c>
      <c r="AC45" s="904" t="s">
        <v>466</v>
      </c>
      <c r="AD45" s="914" t="s">
        <v>43</v>
      </c>
      <c r="AE45" s="915" t="s">
        <v>390</v>
      </c>
      <c r="AF45" s="908">
        <f>+'PM 01 y PM05'!AF12</f>
        <v>196</v>
      </c>
      <c r="AG45" s="904">
        <f>+'PM 01 y PM05'!AG12</f>
        <v>235</v>
      </c>
      <c r="AH45" s="1299"/>
      <c r="AI45" s="917">
        <f>+'PM 01 y PM05'!AI12</f>
        <v>363</v>
      </c>
      <c r="AJ45" s="918">
        <f>+'PM 01 y PM05'!AJ12</f>
        <v>255</v>
      </c>
      <c r="AK45" s="1065"/>
      <c r="AL45" s="1386">
        <v>3433</v>
      </c>
      <c r="AM45" s="918">
        <v>2448</v>
      </c>
      <c r="AN45" s="1004"/>
      <c r="AO45" s="1006"/>
      <c r="AP45" s="1007"/>
      <c r="AQ45" s="1004"/>
      <c r="AR45" s="1063"/>
      <c r="AS45" s="1004"/>
    </row>
    <row r="46" spans="1:45" s="1021" customFormat="1" ht="30" x14ac:dyDescent="0.25">
      <c r="A46" s="1545"/>
      <c r="B46" s="1546"/>
      <c r="C46" s="1546"/>
      <c r="D46" s="1547"/>
      <c r="E46" s="1060" t="s">
        <v>632</v>
      </c>
      <c r="F46" s="1061" t="s">
        <v>791</v>
      </c>
      <c r="G46" s="1066">
        <v>737</v>
      </c>
      <c r="H46" s="906">
        <v>0.15</v>
      </c>
      <c r="I46" s="906" t="s">
        <v>42</v>
      </c>
      <c r="J46" s="907" t="s">
        <v>40</v>
      </c>
      <c r="K46" s="1064">
        <v>178</v>
      </c>
      <c r="L46" s="909">
        <f t="shared" ref="L46:L78" si="39">IF(I46="Cantidad",AF46,IF(ISERROR(AF46/AG46),0,AF46/AG46))</f>
        <v>109</v>
      </c>
      <c r="M46" s="910">
        <f t="shared" ref="M46:M78" si="40">IF(ISERROR(L46/K46),0,(L46/K46))</f>
        <v>0.61235955056179781</v>
      </c>
      <c r="N46" s="1062">
        <v>180</v>
      </c>
      <c r="O46" s="909">
        <f t="shared" si="6"/>
        <v>172</v>
      </c>
      <c r="P46" s="910">
        <f t="shared" ref="P46:P78" si="41">IF(ISERROR(O46/N46),0,(O46/N46))</f>
        <v>0.9555555555555556</v>
      </c>
      <c r="Q46" s="1062">
        <v>180</v>
      </c>
      <c r="R46" s="909">
        <f t="shared" si="7"/>
        <v>266</v>
      </c>
      <c r="S46" s="910">
        <f t="shared" ref="S46:S78" si="42">IF(ISERROR(R46/Q46),0,(R46/Q46))</f>
        <v>1.4777777777777779</v>
      </c>
      <c r="T46" s="1062">
        <v>162</v>
      </c>
      <c r="U46" s="909">
        <f t="shared" si="8"/>
        <v>0</v>
      </c>
      <c r="V46" s="910">
        <f t="shared" ref="V46:V78" si="43">IF(ISERROR(U46/T46),0,(U46/T46))</f>
        <v>0</v>
      </c>
      <c r="W46" s="925">
        <f t="shared" ref="W46:W78" si="44">IF(J46="SUMA",(K46+N46+Q46+T46),(K46))</f>
        <v>700</v>
      </c>
      <c r="X46" s="909">
        <f t="shared" ref="X46:X78" si="45">IF(ISERROR(AVERAGE(L46,O46,R46,U46)),0,IF(J46="Suma",(L46+O46+R46+U46),AVERAGE(L46,O46,R46,U46)))</f>
        <v>547</v>
      </c>
      <c r="Y46" s="926">
        <f t="shared" ref="Y46:Y78" si="46">IF(ISERROR(X46/W46),0,(X46/W46))</f>
        <v>0.78142857142857147</v>
      </c>
      <c r="Z46" s="912">
        <f t="shared" ref="Z46:Z78" si="47">+Y46*H46</f>
        <v>0.11721428571428572</v>
      </c>
      <c r="AA46" s="913" t="s">
        <v>244</v>
      </c>
      <c r="AB46" s="904" t="s">
        <v>328</v>
      </c>
      <c r="AC46" s="904" t="s">
        <v>467</v>
      </c>
      <c r="AD46" s="914" t="s">
        <v>43</v>
      </c>
      <c r="AE46" s="915" t="s">
        <v>390</v>
      </c>
      <c r="AF46" s="908">
        <f>+'PM 01 y PM05'!AF13</f>
        <v>109</v>
      </c>
      <c r="AG46" s="904">
        <f>+'PM 01 y PM05'!AG13</f>
        <v>178</v>
      </c>
      <c r="AH46" s="1299"/>
      <c r="AI46" s="917">
        <f>+'PM 01 y PM05'!AI13</f>
        <v>172</v>
      </c>
      <c r="AJ46" s="918">
        <f>+'PM 01 y PM05'!AJ13</f>
        <v>180</v>
      </c>
      <c r="AK46" s="1065"/>
      <c r="AL46" s="1386">
        <v>266</v>
      </c>
      <c r="AM46" s="918">
        <v>270</v>
      </c>
      <c r="AN46" s="1004"/>
      <c r="AO46" s="1006"/>
      <c r="AP46" s="1007"/>
      <c r="AQ46" s="1004"/>
      <c r="AR46" s="1063"/>
      <c r="AS46" s="1004"/>
    </row>
    <row r="47" spans="1:45" s="1021" customFormat="1" ht="45" x14ac:dyDescent="0.25">
      <c r="A47" s="1545"/>
      <c r="B47" s="1546"/>
      <c r="C47" s="1546"/>
      <c r="D47" s="1547"/>
      <c r="E47" s="1060" t="s">
        <v>753</v>
      </c>
      <c r="F47" s="1061" t="s">
        <v>792</v>
      </c>
      <c r="G47" s="909">
        <v>974</v>
      </c>
      <c r="H47" s="906">
        <v>0.1</v>
      </c>
      <c r="I47" s="906" t="s">
        <v>42</v>
      </c>
      <c r="J47" s="907" t="s">
        <v>40</v>
      </c>
      <c r="K47" s="1064">
        <v>387</v>
      </c>
      <c r="L47" s="909">
        <f t="shared" si="39"/>
        <v>232</v>
      </c>
      <c r="M47" s="910">
        <f t="shared" si="40"/>
        <v>0.59948320413436695</v>
      </c>
      <c r="N47" s="1062">
        <v>393</v>
      </c>
      <c r="O47" s="909">
        <f t="shared" si="6"/>
        <v>242</v>
      </c>
      <c r="P47" s="910">
        <f t="shared" si="41"/>
        <v>0.61577608142493634</v>
      </c>
      <c r="Q47" s="1062">
        <v>393</v>
      </c>
      <c r="R47" s="909">
        <f t="shared" si="7"/>
        <v>0</v>
      </c>
      <c r="S47" s="910">
        <f t="shared" si="42"/>
        <v>0</v>
      </c>
      <c r="T47" s="1062">
        <v>327</v>
      </c>
      <c r="U47" s="909">
        <f t="shared" si="8"/>
        <v>0</v>
      </c>
      <c r="V47" s="910">
        <f t="shared" si="43"/>
        <v>0</v>
      </c>
      <c r="W47" s="925">
        <f t="shared" si="44"/>
        <v>1500</v>
      </c>
      <c r="X47" s="909">
        <f t="shared" si="45"/>
        <v>474</v>
      </c>
      <c r="Y47" s="926">
        <f t="shared" si="46"/>
        <v>0.316</v>
      </c>
      <c r="Z47" s="912">
        <f t="shared" si="47"/>
        <v>3.1600000000000003E-2</v>
      </c>
      <c r="AA47" s="913" t="s">
        <v>245</v>
      </c>
      <c r="AB47" s="904" t="s">
        <v>468</v>
      </c>
      <c r="AC47" s="904" t="s">
        <v>469</v>
      </c>
      <c r="AD47" s="914" t="s">
        <v>43</v>
      </c>
      <c r="AE47" s="915" t="s">
        <v>391</v>
      </c>
      <c r="AF47" s="908">
        <f>+'PM 01 y PM05'!AF14</f>
        <v>232</v>
      </c>
      <c r="AG47" s="904">
        <f>+'PM 01 y PM05'!AG14</f>
        <v>387</v>
      </c>
      <c r="AH47" s="1299"/>
      <c r="AI47" s="917">
        <f>+'PM 01 y PM05'!AI14</f>
        <v>242</v>
      </c>
      <c r="AJ47" s="918">
        <f>+'PM 01 y PM05'!AJ14</f>
        <v>393</v>
      </c>
      <c r="AK47" s="1065"/>
      <c r="AL47" s="1386">
        <v>0</v>
      </c>
      <c r="AM47" s="918">
        <v>27</v>
      </c>
      <c r="AN47" s="1004"/>
      <c r="AO47" s="1006"/>
      <c r="AP47" s="1007"/>
      <c r="AQ47" s="1004"/>
      <c r="AR47" s="1063"/>
      <c r="AS47" s="1004"/>
    </row>
    <row r="48" spans="1:45" s="1021" customFormat="1" ht="45" x14ac:dyDescent="0.25">
      <c r="A48" s="1545"/>
      <c r="B48" s="1546"/>
      <c r="C48" s="1546"/>
      <c r="D48" s="1547"/>
      <c r="E48" s="1060" t="s">
        <v>754</v>
      </c>
      <c r="F48" s="1061" t="s">
        <v>458</v>
      </c>
      <c r="G48" s="909">
        <v>60</v>
      </c>
      <c r="H48" s="906">
        <v>0.05</v>
      </c>
      <c r="I48" s="906" t="s">
        <v>42</v>
      </c>
      <c r="J48" s="907" t="s">
        <v>40</v>
      </c>
      <c r="K48" s="1064">
        <v>29</v>
      </c>
      <c r="L48" s="909">
        <f t="shared" si="39"/>
        <v>24</v>
      </c>
      <c r="M48" s="910">
        <f t="shared" si="40"/>
        <v>0.82758620689655171</v>
      </c>
      <c r="N48" s="1062">
        <v>27</v>
      </c>
      <c r="O48" s="909">
        <f t="shared" si="6"/>
        <v>32</v>
      </c>
      <c r="P48" s="910">
        <f t="shared" si="41"/>
        <v>1.1851851851851851</v>
      </c>
      <c r="Q48" s="1062">
        <v>27</v>
      </c>
      <c r="R48" s="909">
        <f t="shared" si="7"/>
        <v>1980</v>
      </c>
      <c r="S48" s="910">
        <f t="shared" si="42"/>
        <v>73.333333333333329</v>
      </c>
      <c r="T48" s="1062">
        <v>27</v>
      </c>
      <c r="U48" s="909">
        <f t="shared" si="8"/>
        <v>0</v>
      </c>
      <c r="V48" s="910">
        <f t="shared" si="43"/>
        <v>0</v>
      </c>
      <c r="W48" s="925">
        <f t="shared" si="44"/>
        <v>110</v>
      </c>
      <c r="X48" s="909">
        <f t="shared" si="45"/>
        <v>2036</v>
      </c>
      <c r="Y48" s="926">
        <f t="shared" si="46"/>
        <v>18.509090909090908</v>
      </c>
      <c r="Z48" s="912">
        <f t="shared" si="47"/>
        <v>0.92545454545454542</v>
      </c>
      <c r="AA48" s="913" t="s">
        <v>329</v>
      </c>
      <c r="AB48" s="904" t="s">
        <v>471</v>
      </c>
      <c r="AC48" s="904" t="s">
        <v>470</v>
      </c>
      <c r="AD48" s="914" t="s">
        <v>43</v>
      </c>
      <c r="AE48" s="915" t="s">
        <v>392</v>
      </c>
      <c r="AF48" s="908">
        <f>+'PM 01 y PM05'!AF15</f>
        <v>24</v>
      </c>
      <c r="AG48" s="904">
        <f>+'PM 01 y PM05'!AG15</f>
        <v>29</v>
      </c>
      <c r="AH48" s="1299"/>
      <c r="AI48" s="917">
        <f>+'PM 01 y PM05'!AI15</f>
        <v>32</v>
      </c>
      <c r="AJ48" s="918">
        <f>+'PM 01 y PM05'!AJ15</f>
        <v>27</v>
      </c>
      <c r="AK48" s="1065"/>
      <c r="AL48" s="1386">
        <v>1980</v>
      </c>
      <c r="AM48" s="918">
        <v>2628</v>
      </c>
      <c r="AN48" s="1004"/>
      <c r="AO48" s="1006"/>
      <c r="AP48" s="1007"/>
      <c r="AQ48" s="1004"/>
      <c r="AR48" s="1063"/>
      <c r="AS48" s="1004"/>
    </row>
    <row r="49" spans="1:45" s="1021" customFormat="1" ht="45.75" thickBot="1" x14ac:dyDescent="0.3">
      <c r="A49" s="1534"/>
      <c r="B49" s="1536"/>
      <c r="C49" s="1536"/>
      <c r="D49" s="1538"/>
      <c r="E49" s="1067" t="s">
        <v>755</v>
      </c>
      <c r="F49" s="1068" t="s">
        <v>793</v>
      </c>
      <c r="G49" s="1069">
        <v>13762</v>
      </c>
      <c r="H49" s="929">
        <v>0.2</v>
      </c>
      <c r="I49" s="929" t="s">
        <v>42</v>
      </c>
      <c r="J49" s="930" t="s">
        <v>40</v>
      </c>
      <c r="K49" s="1282">
        <v>1133</v>
      </c>
      <c r="L49" s="941">
        <f t="shared" si="39"/>
        <v>464</v>
      </c>
      <c r="M49" s="1045">
        <f t="shared" si="40"/>
        <v>0.4095322153574581</v>
      </c>
      <c r="N49" s="1283">
        <v>2745</v>
      </c>
      <c r="O49" s="941">
        <f t="shared" si="6"/>
        <v>561</v>
      </c>
      <c r="P49" s="1045">
        <f t="shared" si="41"/>
        <v>0.20437158469945355</v>
      </c>
      <c r="Q49" s="1283">
        <v>2742</v>
      </c>
      <c r="R49" s="941">
        <f t="shared" si="7"/>
        <v>0</v>
      </c>
      <c r="S49" s="1045">
        <f t="shared" si="42"/>
        <v>0</v>
      </c>
      <c r="T49" s="1283">
        <v>2742</v>
      </c>
      <c r="U49" s="941">
        <f t="shared" si="8"/>
        <v>0</v>
      </c>
      <c r="V49" s="1045">
        <f t="shared" si="43"/>
        <v>0</v>
      </c>
      <c r="W49" s="1101">
        <f t="shared" si="44"/>
        <v>9362</v>
      </c>
      <c r="X49" s="941">
        <f t="shared" si="45"/>
        <v>1025</v>
      </c>
      <c r="Y49" s="1102">
        <f t="shared" si="46"/>
        <v>0.10948515274513992</v>
      </c>
      <c r="Z49" s="936">
        <f t="shared" si="47"/>
        <v>2.1897030549027988E-2</v>
      </c>
      <c r="AA49" s="937" t="s">
        <v>246</v>
      </c>
      <c r="AB49" s="933" t="s">
        <v>330</v>
      </c>
      <c r="AC49" s="933" t="s">
        <v>472</v>
      </c>
      <c r="AD49" s="938" t="s">
        <v>43</v>
      </c>
      <c r="AE49" s="939" t="s">
        <v>393</v>
      </c>
      <c r="AF49" s="940">
        <f>+'PM 01 y PM05'!AF16</f>
        <v>464</v>
      </c>
      <c r="AG49" s="1039">
        <f>+'PM 01 y PM05'!AG16</f>
        <v>1133</v>
      </c>
      <c r="AH49" s="1311"/>
      <c r="AI49" s="1315">
        <f>+'PM 01 y PM05'!AI16</f>
        <v>561</v>
      </c>
      <c r="AJ49" s="1316">
        <f>+'PM 01 y PM05'!AJ16</f>
        <v>2745</v>
      </c>
      <c r="AK49" s="1323"/>
      <c r="AL49" s="1072"/>
      <c r="AM49" s="1013"/>
      <c r="AN49" s="1015"/>
      <c r="AO49" s="1012"/>
      <c r="AP49" s="1013"/>
      <c r="AQ49" s="1015"/>
      <c r="AR49" s="1072"/>
      <c r="AS49" s="1015"/>
    </row>
    <row r="50" spans="1:45" s="1021" customFormat="1" ht="60.75" thickBot="1" x14ac:dyDescent="0.3">
      <c r="A50" s="967" t="s">
        <v>594</v>
      </c>
      <c r="B50" s="968">
        <v>11</v>
      </c>
      <c r="C50" s="968" t="s">
        <v>304</v>
      </c>
      <c r="D50" s="969">
        <v>1.4999999999999999E-2</v>
      </c>
      <c r="E50" s="1073" t="s">
        <v>565</v>
      </c>
      <c r="F50" s="1074" t="s">
        <v>474</v>
      </c>
      <c r="G50" s="971">
        <v>7</v>
      </c>
      <c r="H50" s="972">
        <v>1</v>
      </c>
      <c r="I50" s="972" t="s">
        <v>42</v>
      </c>
      <c r="J50" s="973" t="s">
        <v>40</v>
      </c>
      <c r="K50" s="1280">
        <v>1</v>
      </c>
      <c r="L50" s="1195">
        <f t="shared" si="39"/>
        <v>4</v>
      </c>
      <c r="M50" s="1153">
        <f t="shared" si="40"/>
        <v>4</v>
      </c>
      <c r="N50" s="1281">
        <v>3</v>
      </c>
      <c r="O50" s="1195">
        <f t="shared" si="6"/>
        <v>1</v>
      </c>
      <c r="P50" s="1153">
        <f t="shared" si="41"/>
        <v>0.33333333333333331</v>
      </c>
      <c r="Q50" s="1281">
        <v>3</v>
      </c>
      <c r="R50" s="1195">
        <f t="shared" si="7"/>
        <v>0</v>
      </c>
      <c r="S50" s="1153">
        <f t="shared" si="42"/>
        <v>0</v>
      </c>
      <c r="T50" s="1281">
        <v>2</v>
      </c>
      <c r="U50" s="1195">
        <f t="shared" si="8"/>
        <v>0</v>
      </c>
      <c r="V50" s="1153">
        <f t="shared" si="43"/>
        <v>0</v>
      </c>
      <c r="W50" s="1276">
        <f t="shared" si="44"/>
        <v>9</v>
      </c>
      <c r="X50" s="1195">
        <f t="shared" si="45"/>
        <v>5</v>
      </c>
      <c r="Y50" s="1224">
        <f t="shared" si="46"/>
        <v>0.55555555555555558</v>
      </c>
      <c r="Z50" s="975">
        <f t="shared" si="47"/>
        <v>0.55555555555555558</v>
      </c>
      <c r="AA50" s="976" t="s">
        <v>331</v>
      </c>
      <c r="AB50" s="968" t="s">
        <v>475</v>
      </c>
      <c r="AC50" s="968" t="s">
        <v>476</v>
      </c>
      <c r="AD50" s="977" t="s">
        <v>43</v>
      </c>
      <c r="AE50" s="978" t="s">
        <v>394</v>
      </c>
      <c r="AF50" s="1009">
        <f>+'PM 01 y PM05'!AF17</f>
        <v>4</v>
      </c>
      <c r="AG50" s="1010">
        <f>+'PM 01 y PM05'!AG17</f>
        <v>1</v>
      </c>
      <c r="AH50" s="1028"/>
      <c r="AI50" s="1305">
        <f>+'PM 01 y PM05'!AI17</f>
        <v>1</v>
      </c>
      <c r="AJ50" s="1030">
        <f>+'PM 01 y PM05'!AJ17</f>
        <v>3</v>
      </c>
      <c r="AK50" s="1322"/>
      <c r="AL50" s="1076"/>
      <c r="AM50" s="1077"/>
      <c r="AN50" s="1079"/>
      <c r="AO50" s="1076"/>
      <c r="AP50" s="1077"/>
      <c r="AQ50" s="1079"/>
      <c r="AR50" s="1080"/>
      <c r="AS50" s="1079"/>
    </row>
    <row r="51" spans="1:45" s="1021" customFormat="1" ht="60.75" thickBot="1" x14ac:dyDescent="0.3">
      <c r="A51" s="967" t="s">
        <v>593</v>
      </c>
      <c r="B51" s="968">
        <v>12</v>
      </c>
      <c r="C51" s="968" t="s">
        <v>272</v>
      </c>
      <c r="D51" s="969">
        <v>1.4999999999999999E-2</v>
      </c>
      <c r="E51" s="1073" t="s">
        <v>567</v>
      </c>
      <c r="F51" s="1074" t="s">
        <v>477</v>
      </c>
      <c r="G51" s="1081">
        <v>104401</v>
      </c>
      <c r="H51" s="972">
        <v>1</v>
      </c>
      <c r="I51" s="972" t="s">
        <v>42</v>
      </c>
      <c r="J51" s="973" t="s">
        <v>40</v>
      </c>
      <c r="K51" s="1285">
        <v>24623</v>
      </c>
      <c r="L51" s="1286">
        <f t="shared" si="39"/>
        <v>2729</v>
      </c>
      <c r="M51" s="1287">
        <f t="shared" si="40"/>
        <v>0.11083133655525322</v>
      </c>
      <c r="N51" s="1288">
        <v>39416</v>
      </c>
      <c r="O51" s="1286">
        <f t="shared" si="6"/>
        <v>26228</v>
      </c>
      <c r="P51" s="1287">
        <f t="shared" si="41"/>
        <v>0.66541505987416283</v>
      </c>
      <c r="Q51" s="1288">
        <v>47122</v>
      </c>
      <c r="R51" s="1286">
        <f t="shared" si="7"/>
        <v>0</v>
      </c>
      <c r="S51" s="1287">
        <f t="shared" si="42"/>
        <v>0</v>
      </c>
      <c r="T51" s="1288">
        <v>41415</v>
      </c>
      <c r="U51" s="1286">
        <f t="shared" si="8"/>
        <v>0</v>
      </c>
      <c r="V51" s="1287">
        <f t="shared" si="43"/>
        <v>0</v>
      </c>
      <c r="W51" s="1289">
        <f t="shared" si="44"/>
        <v>152576</v>
      </c>
      <c r="X51" s="1286">
        <f t="shared" si="45"/>
        <v>28957</v>
      </c>
      <c r="Y51" s="1290">
        <f t="shared" si="46"/>
        <v>0.18978738464765102</v>
      </c>
      <c r="Z51" s="975">
        <f t="shared" si="47"/>
        <v>0.18978738464765102</v>
      </c>
      <c r="AA51" s="976" t="s">
        <v>247</v>
      </c>
      <c r="AB51" s="968" t="s">
        <v>332</v>
      </c>
      <c r="AC51" s="968" t="s">
        <v>333</v>
      </c>
      <c r="AD51" s="977" t="s">
        <v>43</v>
      </c>
      <c r="AE51" s="978" t="s">
        <v>395</v>
      </c>
      <c r="AF51" s="967">
        <f>+'PM 01 y PM05'!AF18</f>
        <v>2729</v>
      </c>
      <c r="AG51" s="971">
        <f>+'PM 01 y PM05'!AG18</f>
        <v>24623</v>
      </c>
      <c r="AH51" s="981"/>
      <c r="AI51" s="982">
        <f>+'PM 01 y PM05'!AI18</f>
        <v>26228</v>
      </c>
      <c r="AJ51" s="983">
        <f>+'PM 01 y PM05'!AJ18</f>
        <v>39416</v>
      </c>
      <c r="AK51" s="1078"/>
      <c r="AL51" s="1076"/>
      <c r="AM51" s="1077"/>
      <c r="AN51" s="1079"/>
      <c r="AO51" s="1076"/>
      <c r="AP51" s="1077"/>
      <c r="AQ51" s="1079"/>
      <c r="AR51" s="1080"/>
      <c r="AS51" s="1079"/>
    </row>
    <row r="52" spans="1:45" s="1021" customFormat="1" ht="60" x14ac:dyDescent="0.25">
      <c r="A52" s="1533" t="s">
        <v>594</v>
      </c>
      <c r="B52" s="1535">
        <v>13</v>
      </c>
      <c r="C52" s="1535" t="s">
        <v>273</v>
      </c>
      <c r="D52" s="1537">
        <v>0.06</v>
      </c>
      <c r="E52" s="1053" t="s">
        <v>567</v>
      </c>
      <c r="F52" s="1082" t="s">
        <v>295</v>
      </c>
      <c r="G52" s="893">
        <v>2</v>
      </c>
      <c r="H52" s="986">
        <v>0.25</v>
      </c>
      <c r="I52" s="890" t="s">
        <v>42</v>
      </c>
      <c r="J52" s="891" t="s">
        <v>40</v>
      </c>
      <c r="K52" s="1337">
        <v>0.24</v>
      </c>
      <c r="L52" s="1234">
        <f t="shared" si="39"/>
        <v>0.24</v>
      </c>
      <c r="M52" s="1056">
        <f t="shared" si="40"/>
        <v>1</v>
      </c>
      <c r="N52" s="1337">
        <v>0.24</v>
      </c>
      <c r="O52" s="1196">
        <f t="shared" si="6"/>
        <v>0.24</v>
      </c>
      <c r="P52" s="1056">
        <f t="shared" si="41"/>
        <v>1</v>
      </c>
      <c r="Q52" s="1284">
        <v>0.26</v>
      </c>
      <c r="R52" s="1196">
        <f t="shared" si="7"/>
        <v>0</v>
      </c>
      <c r="S52" s="1056">
        <f t="shared" si="42"/>
        <v>0</v>
      </c>
      <c r="T52" s="1284">
        <v>0.26</v>
      </c>
      <c r="U52" s="1196">
        <f t="shared" si="8"/>
        <v>0</v>
      </c>
      <c r="V52" s="1056">
        <f>IF(ISERROR(U52/T52),0,(U52/T52))</f>
        <v>0</v>
      </c>
      <c r="W52" s="1057">
        <f>IF(J52="SUMA",(K52+N52+Q52+T52),(K52))</f>
        <v>1</v>
      </c>
      <c r="X52" s="1196">
        <f t="shared" si="45"/>
        <v>0.48</v>
      </c>
      <c r="Y52" s="1002">
        <f t="shared" si="46"/>
        <v>0.48</v>
      </c>
      <c r="Z52" s="896">
        <f t="shared" si="47"/>
        <v>0.12</v>
      </c>
      <c r="AA52" s="897" t="s">
        <v>478</v>
      </c>
      <c r="AB52" s="888" t="s">
        <v>479</v>
      </c>
      <c r="AC52" s="888" t="s">
        <v>480</v>
      </c>
      <c r="AD52" s="898" t="s">
        <v>43</v>
      </c>
      <c r="AE52" s="899" t="s">
        <v>396</v>
      </c>
      <c r="AF52" s="892">
        <f>+'PM 01 y PM05'!AF19</f>
        <v>0.24</v>
      </c>
      <c r="AG52" s="893">
        <f>+'PM 01 y PM05'!AG19</f>
        <v>0.24</v>
      </c>
      <c r="AH52" s="1310"/>
      <c r="AI52" s="900">
        <f>+'PM 01 y PM05'!AI19</f>
        <v>0.24</v>
      </c>
      <c r="AJ52" s="901">
        <f>+'PM 01 y PM05'!AJ19</f>
        <v>0.24</v>
      </c>
      <c r="AK52" s="1086"/>
      <c r="AL52" s="1087"/>
      <c r="AM52" s="1085"/>
      <c r="AN52" s="1085"/>
      <c r="AO52" s="1085"/>
      <c r="AP52" s="1085"/>
      <c r="AQ52" s="1085"/>
      <c r="AR52" s="1085"/>
      <c r="AS52" s="1000"/>
    </row>
    <row r="53" spans="1:45" s="1021" customFormat="1" ht="45" x14ac:dyDescent="0.25">
      <c r="A53" s="1545"/>
      <c r="B53" s="1546"/>
      <c r="C53" s="1546"/>
      <c r="D53" s="1547"/>
      <c r="E53" s="1060" t="s">
        <v>568</v>
      </c>
      <c r="F53" s="909" t="s">
        <v>459</v>
      </c>
      <c r="G53" s="909">
        <v>16</v>
      </c>
      <c r="H53" s="906">
        <v>0.25</v>
      </c>
      <c r="I53" s="906" t="s">
        <v>42</v>
      </c>
      <c r="J53" s="907" t="s">
        <v>40</v>
      </c>
      <c r="K53" s="1064">
        <v>3</v>
      </c>
      <c r="L53" s="909">
        <f t="shared" si="39"/>
        <v>5</v>
      </c>
      <c r="M53" s="910">
        <f t="shared" si="40"/>
        <v>1.6666666666666667</v>
      </c>
      <c r="N53" s="1062">
        <v>5</v>
      </c>
      <c r="O53" s="909">
        <f t="shared" si="6"/>
        <v>15</v>
      </c>
      <c r="P53" s="910">
        <f t="shared" si="41"/>
        <v>3</v>
      </c>
      <c r="Q53" s="1062">
        <v>4</v>
      </c>
      <c r="R53" s="909">
        <f t="shared" si="7"/>
        <v>0</v>
      </c>
      <c r="S53" s="910">
        <f t="shared" si="42"/>
        <v>0</v>
      </c>
      <c r="T53" s="1062">
        <v>3</v>
      </c>
      <c r="U53" s="909">
        <f t="shared" si="8"/>
        <v>0</v>
      </c>
      <c r="V53" s="910">
        <f t="shared" si="43"/>
        <v>0</v>
      </c>
      <c r="W53" s="925">
        <f t="shared" si="44"/>
        <v>15</v>
      </c>
      <c r="X53" s="909">
        <f t="shared" si="45"/>
        <v>20</v>
      </c>
      <c r="Y53" s="926">
        <f t="shared" si="46"/>
        <v>1.3333333333333333</v>
      </c>
      <c r="Z53" s="912">
        <f t="shared" si="47"/>
        <v>0.33333333333333331</v>
      </c>
      <c r="AA53" s="913" t="s">
        <v>334</v>
      </c>
      <c r="AB53" s="904" t="s">
        <v>481</v>
      </c>
      <c r="AC53" s="904" t="s">
        <v>482</v>
      </c>
      <c r="AD53" s="914" t="s">
        <v>43</v>
      </c>
      <c r="AE53" s="915" t="s">
        <v>397</v>
      </c>
      <c r="AF53" s="908">
        <f>+'PM 01 y PM05'!AF20</f>
        <v>5</v>
      </c>
      <c r="AG53" s="909">
        <f>+'PM 01 y PM05'!AG20</f>
        <v>3</v>
      </c>
      <c r="AH53" s="1299"/>
      <c r="AI53" s="917">
        <f>+'PM 01 y PM05'!AI20</f>
        <v>15</v>
      </c>
      <c r="AJ53" s="918">
        <f>+'PM 01 y PM05'!AJ20</f>
        <v>5</v>
      </c>
      <c r="AK53" s="1065"/>
      <c r="AL53" s="1006"/>
      <c r="AM53" s="1007"/>
      <c r="AN53" s="1007"/>
      <c r="AO53" s="1007"/>
      <c r="AP53" s="1007"/>
      <c r="AQ53" s="1007"/>
      <c r="AR53" s="1007"/>
      <c r="AS53" s="1004"/>
    </row>
    <row r="54" spans="1:45" s="1021" customFormat="1" ht="30" x14ac:dyDescent="0.25">
      <c r="A54" s="1545"/>
      <c r="B54" s="1546"/>
      <c r="C54" s="1546"/>
      <c r="D54" s="1547"/>
      <c r="E54" s="1060" t="s">
        <v>726</v>
      </c>
      <c r="F54" s="909" t="s">
        <v>483</v>
      </c>
      <c r="G54" s="909">
        <v>130</v>
      </c>
      <c r="H54" s="906">
        <v>0.25</v>
      </c>
      <c r="I54" s="906" t="s">
        <v>42</v>
      </c>
      <c r="J54" s="907" t="s">
        <v>40</v>
      </c>
      <c r="K54" s="1064">
        <v>60</v>
      </c>
      <c r="L54" s="909">
        <f t="shared" si="39"/>
        <v>55</v>
      </c>
      <c r="M54" s="910">
        <f t="shared" si="40"/>
        <v>0.91666666666666663</v>
      </c>
      <c r="N54" s="1062">
        <v>314</v>
      </c>
      <c r="O54" s="909">
        <f t="shared" si="6"/>
        <v>157</v>
      </c>
      <c r="P54" s="910">
        <f t="shared" si="41"/>
        <v>0.5</v>
      </c>
      <c r="Q54" s="1062">
        <v>313</v>
      </c>
      <c r="R54" s="909">
        <f t="shared" si="7"/>
        <v>0</v>
      </c>
      <c r="S54" s="910">
        <f t="shared" si="42"/>
        <v>0</v>
      </c>
      <c r="T54" s="1062">
        <v>313</v>
      </c>
      <c r="U54" s="909">
        <f t="shared" si="8"/>
        <v>0</v>
      </c>
      <c r="V54" s="910">
        <f t="shared" si="43"/>
        <v>0</v>
      </c>
      <c r="W54" s="925">
        <f t="shared" si="44"/>
        <v>1000</v>
      </c>
      <c r="X54" s="909">
        <f t="shared" si="45"/>
        <v>212</v>
      </c>
      <c r="Y54" s="926">
        <f t="shared" si="46"/>
        <v>0.21199999999999999</v>
      </c>
      <c r="Z54" s="912">
        <f t="shared" si="47"/>
        <v>5.2999999999999999E-2</v>
      </c>
      <c r="AA54" s="913" t="s">
        <v>335</v>
      </c>
      <c r="AB54" s="904" t="s">
        <v>336</v>
      </c>
      <c r="AC54" s="904" t="s">
        <v>337</v>
      </c>
      <c r="AD54" s="914" t="s">
        <v>43</v>
      </c>
      <c r="AE54" s="915" t="s">
        <v>398</v>
      </c>
      <c r="AF54" s="908">
        <f>+'PM 01 y PM05'!AF21</f>
        <v>55</v>
      </c>
      <c r="AG54" s="909">
        <f>+'PM 01 y PM05'!AG21</f>
        <v>60</v>
      </c>
      <c r="AH54" s="1299"/>
      <c r="AI54" s="917">
        <f>+'PM 01 y PM05'!AI21</f>
        <v>157</v>
      </c>
      <c r="AJ54" s="918">
        <f>+'PM 01 y PM05'!AJ21</f>
        <v>314</v>
      </c>
      <c r="AK54" s="1065"/>
      <c r="AL54" s="1006"/>
      <c r="AM54" s="1007"/>
      <c r="AN54" s="1007"/>
      <c r="AO54" s="1007"/>
      <c r="AP54" s="1007"/>
      <c r="AQ54" s="1007"/>
      <c r="AR54" s="1007"/>
      <c r="AS54" s="1004"/>
    </row>
    <row r="55" spans="1:45" s="1021" customFormat="1" ht="30.75" thickBot="1" x14ac:dyDescent="0.3">
      <c r="A55" s="1534"/>
      <c r="B55" s="1536"/>
      <c r="C55" s="1536"/>
      <c r="D55" s="1538"/>
      <c r="E55" s="1067" t="s">
        <v>727</v>
      </c>
      <c r="F55" s="928" t="s">
        <v>460</v>
      </c>
      <c r="G55" s="928">
        <v>69</v>
      </c>
      <c r="H55" s="929">
        <v>0.25</v>
      </c>
      <c r="I55" s="929" t="s">
        <v>39</v>
      </c>
      <c r="J55" s="930" t="s">
        <v>106</v>
      </c>
      <c r="K55" s="1088">
        <v>1</v>
      </c>
      <c r="L55" s="1184">
        <f t="shared" si="39"/>
        <v>1</v>
      </c>
      <c r="M55" s="934">
        <f t="shared" si="40"/>
        <v>1</v>
      </c>
      <c r="N55" s="1089">
        <v>1</v>
      </c>
      <c r="O55" s="1230">
        <f t="shared" si="6"/>
        <v>1</v>
      </c>
      <c r="P55" s="934">
        <f t="shared" si="41"/>
        <v>1</v>
      </c>
      <c r="Q55" s="1089">
        <v>1</v>
      </c>
      <c r="R55" s="928">
        <f t="shared" si="7"/>
        <v>0</v>
      </c>
      <c r="S55" s="934">
        <f t="shared" si="42"/>
        <v>0</v>
      </c>
      <c r="T55" s="1089">
        <v>1</v>
      </c>
      <c r="U55" s="928">
        <f t="shared" si="8"/>
        <v>0</v>
      </c>
      <c r="V55" s="934">
        <f t="shared" si="43"/>
        <v>0</v>
      </c>
      <c r="W55" s="1184">
        <f t="shared" si="44"/>
        <v>1</v>
      </c>
      <c r="X55" s="928">
        <f t="shared" si="45"/>
        <v>0.5</v>
      </c>
      <c r="Y55" s="935">
        <f t="shared" si="46"/>
        <v>0.5</v>
      </c>
      <c r="Z55" s="936">
        <f t="shared" si="47"/>
        <v>0.125</v>
      </c>
      <c r="AA55" s="937" t="s">
        <v>484</v>
      </c>
      <c r="AB55" s="933" t="s">
        <v>485</v>
      </c>
      <c r="AC55" s="933" t="s">
        <v>338</v>
      </c>
      <c r="AD55" s="938" t="s">
        <v>43</v>
      </c>
      <c r="AE55" s="939" t="s">
        <v>397</v>
      </c>
      <c r="AF55" s="940">
        <f>+'PM 01 y PM05'!AF22</f>
        <v>29</v>
      </c>
      <c r="AG55" s="941">
        <f>+'PM 01 y PM05'!AG22</f>
        <v>29</v>
      </c>
      <c r="AH55" s="1311"/>
      <c r="AI55" s="942">
        <f>+'PM 01 y PM05'!AI22</f>
        <v>1</v>
      </c>
      <c r="AJ55" s="943">
        <f>+'PM 01 y PM05'!AJ22</f>
        <v>1</v>
      </c>
      <c r="AK55" s="1071"/>
      <c r="AL55" s="1109"/>
      <c r="AM55" s="1107"/>
      <c r="AN55" s="1107"/>
      <c r="AO55" s="1107"/>
      <c r="AP55" s="1107"/>
      <c r="AQ55" s="1107"/>
      <c r="AR55" s="1107"/>
      <c r="AS55" s="1110"/>
    </row>
    <row r="56" spans="1:45" s="1021" customFormat="1" ht="47.25" x14ac:dyDescent="0.25">
      <c r="A56" s="1533" t="s">
        <v>594</v>
      </c>
      <c r="B56" s="1535">
        <v>14</v>
      </c>
      <c r="C56" s="1535" t="s">
        <v>278</v>
      </c>
      <c r="D56" s="1537">
        <v>0.03</v>
      </c>
      <c r="E56" s="1053" t="s">
        <v>569</v>
      </c>
      <c r="F56" s="830" t="s">
        <v>728</v>
      </c>
      <c r="G56" s="825">
        <v>1</v>
      </c>
      <c r="H56" s="832">
        <v>0.5</v>
      </c>
      <c r="I56" s="832" t="s">
        <v>42</v>
      </c>
      <c r="J56" s="796" t="s">
        <v>106</v>
      </c>
      <c r="K56" s="1151">
        <v>1</v>
      </c>
      <c r="L56" s="1183">
        <f>IF(I57="Cantidad",AF56,IF(ISERROR(AF56/AG56),0,AF56/AG56))</f>
        <v>1</v>
      </c>
      <c r="M56" s="894">
        <f t="shared" si="40"/>
        <v>1</v>
      </c>
      <c r="N56" s="1090">
        <v>1</v>
      </c>
      <c r="O56" s="893">
        <f t="shared" si="6"/>
        <v>1</v>
      </c>
      <c r="P56" s="894">
        <f t="shared" si="41"/>
        <v>1</v>
      </c>
      <c r="Q56" s="1090">
        <v>1</v>
      </c>
      <c r="R56" s="893">
        <f t="shared" si="7"/>
        <v>0</v>
      </c>
      <c r="S56" s="894">
        <f t="shared" si="42"/>
        <v>0</v>
      </c>
      <c r="T56" s="1090">
        <v>1</v>
      </c>
      <c r="U56" s="893">
        <f t="shared" si="8"/>
        <v>0</v>
      </c>
      <c r="V56" s="894">
        <f t="shared" si="43"/>
        <v>0</v>
      </c>
      <c r="W56" s="1183">
        <f>IF(J57="SUMA",(K56+N56+Q56+T56),(K56))</f>
        <v>1</v>
      </c>
      <c r="X56" s="893">
        <f>IF(ISERROR(AVERAGE(L56,O56,R56,U56)),0,IF(J57="Suma",(L56+O56+R56+U56),AVERAGE(L56,O56,R56,U56)))</f>
        <v>0.5</v>
      </c>
      <c r="Y56" s="947">
        <f t="shared" si="46"/>
        <v>0.5</v>
      </c>
      <c r="Z56" s="1155">
        <f>+Y56*H56</f>
        <v>0.25</v>
      </c>
      <c r="AA56" s="131" t="s">
        <v>729</v>
      </c>
      <c r="AB56" s="811" t="s">
        <v>730</v>
      </c>
      <c r="AC56" s="811" t="s">
        <v>731</v>
      </c>
      <c r="AD56" s="399" t="s">
        <v>43</v>
      </c>
      <c r="AE56" s="400" t="s">
        <v>396</v>
      </c>
      <c r="AF56" s="1158">
        <f>+'PM 01 y PM05'!AF23</f>
        <v>1</v>
      </c>
      <c r="AG56" s="893">
        <f>+'PM 01 y PM05'!AG23</f>
        <v>1</v>
      </c>
      <c r="AH56" s="1310"/>
      <c r="AI56" s="900">
        <f>+'PM 01 y PM05'!AI23</f>
        <v>1</v>
      </c>
      <c r="AJ56" s="901">
        <f>+'PM 01 y PM05'!AJ23</f>
        <v>1</v>
      </c>
      <c r="AK56" s="1329"/>
      <c r="AL56" s="1324"/>
      <c r="AM56" s="1325"/>
      <c r="AN56" s="1327"/>
      <c r="AO56" s="1326"/>
      <c r="AP56" s="1325"/>
      <c r="AQ56" s="1327"/>
      <c r="AR56" s="1324"/>
      <c r="AS56" s="1327"/>
    </row>
    <row r="57" spans="1:45" s="1021" customFormat="1" ht="47.25" x14ac:dyDescent="0.25">
      <c r="A57" s="1534"/>
      <c r="B57" s="1536"/>
      <c r="C57" s="1536"/>
      <c r="D57" s="1538"/>
      <c r="E57" s="1067" t="s">
        <v>570</v>
      </c>
      <c r="F57" s="909" t="s">
        <v>303</v>
      </c>
      <c r="G57" s="909">
        <v>2923</v>
      </c>
      <c r="H57" s="906">
        <v>0.3</v>
      </c>
      <c r="I57" s="906" t="s">
        <v>39</v>
      </c>
      <c r="J57" s="907" t="s">
        <v>106</v>
      </c>
      <c r="K57" s="1291">
        <v>1</v>
      </c>
      <c r="L57" s="1186">
        <f>IF(I58="Cantidad",AF57,IF(ISERROR(AF57/AG57),0,AF57/AG57))</f>
        <v>1</v>
      </c>
      <c r="M57" s="910">
        <f t="shared" si="40"/>
        <v>1</v>
      </c>
      <c r="N57" s="1292">
        <v>1</v>
      </c>
      <c r="O57" s="1232">
        <f t="shared" si="6"/>
        <v>1</v>
      </c>
      <c r="P57" s="910">
        <f t="shared" si="41"/>
        <v>1</v>
      </c>
      <c r="Q57" s="1292">
        <v>1</v>
      </c>
      <c r="R57" s="909">
        <f t="shared" si="7"/>
        <v>0</v>
      </c>
      <c r="S57" s="910">
        <f t="shared" si="42"/>
        <v>0</v>
      </c>
      <c r="T57" s="1292">
        <v>1</v>
      </c>
      <c r="U57" s="909">
        <f t="shared" si="8"/>
        <v>0</v>
      </c>
      <c r="V57" s="910">
        <f t="shared" si="43"/>
        <v>0</v>
      </c>
      <c r="W57" s="1186">
        <f>IF(J58="SUMA",(K57+N57+Q57+T57),(K57))</f>
        <v>1</v>
      </c>
      <c r="X57" s="909">
        <f>IF(ISERROR(AVERAGE(L57,O57,R57,U57)),0,IF(J58="Suma",(L57+O57+R57+U57),AVERAGE(L57,O57,R57,U57)))</f>
        <v>0.5</v>
      </c>
      <c r="Y57" s="926">
        <f t="shared" si="46"/>
        <v>0.5</v>
      </c>
      <c r="Z57" s="1156">
        <f>+Y57*H57</f>
        <v>0.15</v>
      </c>
      <c r="AA57" s="192" t="s">
        <v>486</v>
      </c>
      <c r="AB57" s="814" t="s">
        <v>487</v>
      </c>
      <c r="AC57" s="814" t="s">
        <v>488</v>
      </c>
      <c r="AD57" s="155" t="s">
        <v>43</v>
      </c>
      <c r="AE57" s="798" t="s">
        <v>399</v>
      </c>
      <c r="AF57" s="1020">
        <f>+'PM 01 y PM05'!AF24</f>
        <v>709</v>
      </c>
      <c r="AG57" s="997">
        <f>+'PM 01 y PM05'!AG24</f>
        <v>709</v>
      </c>
      <c r="AH57" s="1328"/>
      <c r="AI57" s="917">
        <f>+'PM 01 y PM05'!AI24</f>
        <v>2347</v>
      </c>
      <c r="AJ57" s="918">
        <f>+'PM 01 y PM05'!AJ24</f>
        <v>2347</v>
      </c>
      <c r="AK57" s="1330"/>
      <c r="AL57" s="1072"/>
      <c r="AM57" s="1013"/>
      <c r="AN57" s="1015"/>
      <c r="AO57" s="1012"/>
      <c r="AP57" s="1013"/>
      <c r="AQ57" s="1015"/>
      <c r="AR57" s="1072"/>
      <c r="AS57" s="1015"/>
    </row>
    <row r="58" spans="1:45" s="1021" customFormat="1" ht="45.75" thickBot="1" x14ac:dyDescent="0.3">
      <c r="A58" s="1564"/>
      <c r="B58" s="1562"/>
      <c r="C58" s="1562"/>
      <c r="D58" s="1563"/>
      <c r="E58" s="1149" t="s">
        <v>570</v>
      </c>
      <c r="F58" s="941" t="s">
        <v>305</v>
      </c>
      <c r="G58" s="941">
        <v>365</v>
      </c>
      <c r="H58" s="1041">
        <v>0.2</v>
      </c>
      <c r="I58" s="1041" t="s">
        <v>39</v>
      </c>
      <c r="J58" s="1099" t="s">
        <v>106</v>
      </c>
      <c r="K58" s="1291">
        <v>1</v>
      </c>
      <c r="L58" s="1186">
        <f t="shared" si="39"/>
        <v>1</v>
      </c>
      <c r="M58" s="910">
        <f t="shared" si="40"/>
        <v>1</v>
      </c>
      <c r="N58" s="1292">
        <v>1</v>
      </c>
      <c r="O58" s="1232">
        <f t="shared" si="6"/>
        <v>1</v>
      </c>
      <c r="P58" s="910">
        <f t="shared" si="41"/>
        <v>1</v>
      </c>
      <c r="Q58" s="1292">
        <v>1</v>
      </c>
      <c r="R58" s="909">
        <f t="shared" si="7"/>
        <v>0</v>
      </c>
      <c r="S58" s="910">
        <f t="shared" si="42"/>
        <v>0</v>
      </c>
      <c r="T58" s="1292">
        <v>1</v>
      </c>
      <c r="U58" s="909">
        <f t="shared" si="8"/>
        <v>0</v>
      </c>
      <c r="V58" s="910">
        <f t="shared" si="43"/>
        <v>0</v>
      </c>
      <c r="W58" s="1186">
        <f t="shared" si="44"/>
        <v>1</v>
      </c>
      <c r="X58" s="909">
        <f t="shared" si="45"/>
        <v>0.5</v>
      </c>
      <c r="Y58" s="926">
        <f t="shared" si="46"/>
        <v>0.5</v>
      </c>
      <c r="Z58" s="1157">
        <f>+Y58*H58</f>
        <v>0.1</v>
      </c>
      <c r="AA58" s="161" t="s">
        <v>489</v>
      </c>
      <c r="AB58" s="813" t="s">
        <v>339</v>
      </c>
      <c r="AC58" s="813" t="s">
        <v>490</v>
      </c>
      <c r="AD58" s="791" t="s">
        <v>43</v>
      </c>
      <c r="AE58" s="799" t="s">
        <v>400</v>
      </c>
      <c r="AF58" s="1159">
        <f>+'PM 01 y PM05'!AF25</f>
        <v>82</v>
      </c>
      <c r="AG58" s="1131">
        <f>+'PM 01 y PM05'!AG25</f>
        <v>82</v>
      </c>
      <c r="AH58" s="1311"/>
      <c r="AI58" s="1315">
        <f>+'PM 01 y PM05'!AI25</f>
        <v>117</v>
      </c>
      <c r="AJ58" s="1316">
        <f>+'PM 01 y PM05'!AJ25</f>
        <v>117</v>
      </c>
      <c r="AK58" s="1317"/>
      <c r="AL58" s="1072"/>
      <c r="AM58" s="1013"/>
      <c r="AN58" s="1015"/>
      <c r="AO58" s="1012"/>
      <c r="AP58" s="1013"/>
      <c r="AQ58" s="1015"/>
      <c r="AR58" s="1072"/>
      <c r="AS58" s="1015"/>
    </row>
    <row r="59" spans="1:45" s="1021" customFormat="1" ht="45" x14ac:dyDescent="0.25">
      <c r="A59" s="1533" t="s">
        <v>593</v>
      </c>
      <c r="B59" s="888">
        <v>15</v>
      </c>
      <c r="C59" s="888" t="s">
        <v>231</v>
      </c>
      <c r="D59" s="1537">
        <v>0.03</v>
      </c>
      <c r="E59" s="1053" t="s">
        <v>576</v>
      </c>
      <c r="F59" s="1082" t="s">
        <v>491</v>
      </c>
      <c r="G59" s="1054">
        <v>53668</v>
      </c>
      <c r="H59" s="890">
        <v>0.8</v>
      </c>
      <c r="I59" s="890" t="s">
        <v>42</v>
      </c>
      <c r="J59" s="891" t="s">
        <v>40</v>
      </c>
      <c r="K59" s="1064">
        <v>20829</v>
      </c>
      <c r="L59" s="909">
        <f t="shared" si="39"/>
        <v>16494</v>
      </c>
      <c r="M59" s="910">
        <f t="shared" si="40"/>
        <v>0.79187671035575402</v>
      </c>
      <c r="N59" s="1062">
        <v>20829</v>
      </c>
      <c r="O59" s="909">
        <f t="shared" si="6"/>
        <v>9945</v>
      </c>
      <c r="P59" s="910">
        <f t="shared" si="41"/>
        <v>0.47745931153679966</v>
      </c>
      <c r="Q59" s="1062">
        <v>20829</v>
      </c>
      <c r="R59" s="909">
        <f t="shared" si="7"/>
        <v>0</v>
      </c>
      <c r="S59" s="910">
        <f t="shared" si="42"/>
        <v>0</v>
      </c>
      <c r="T59" s="1062">
        <v>20832</v>
      </c>
      <c r="U59" s="909">
        <f t="shared" si="8"/>
        <v>0</v>
      </c>
      <c r="V59" s="910">
        <f t="shared" si="43"/>
        <v>0</v>
      </c>
      <c r="W59" s="925">
        <f t="shared" si="44"/>
        <v>83319</v>
      </c>
      <c r="X59" s="909">
        <f t="shared" si="45"/>
        <v>26439</v>
      </c>
      <c r="Y59" s="926">
        <f t="shared" si="46"/>
        <v>0.31732257948367121</v>
      </c>
      <c r="Z59" s="1058">
        <f t="shared" si="47"/>
        <v>0.25385806358693697</v>
      </c>
      <c r="AA59" s="1152" t="s">
        <v>340</v>
      </c>
      <c r="AB59" s="1036" t="s">
        <v>341</v>
      </c>
      <c r="AC59" s="1036" t="s">
        <v>492</v>
      </c>
      <c r="AD59" s="1037" t="s">
        <v>43</v>
      </c>
      <c r="AE59" s="1038" t="s">
        <v>401</v>
      </c>
      <c r="AF59" s="996">
        <f>+'PM 01 y PM05'!AF26</f>
        <v>16494</v>
      </c>
      <c r="AG59" s="1036">
        <f>+'PM 01 y PM05'!AG26</f>
        <v>20829</v>
      </c>
      <c r="AH59" s="998"/>
      <c r="AI59" s="1312">
        <f>+'PM 01 y PM05'!AI26</f>
        <v>9945</v>
      </c>
      <c r="AJ59" s="1313">
        <f>+'PM 01 y PM05'!AJ26</f>
        <v>20829</v>
      </c>
      <c r="AK59" s="1314"/>
      <c r="AL59" s="1087"/>
      <c r="AM59" s="1085"/>
      <c r="AN59" s="1000"/>
      <c r="AO59" s="1087"/>
      <c r="AP59" s="1085"/>
      <c r="AQ59" s="1000"/>
      <c r="AR59" s="1059"/>
      <c r="AS59" s="1000"/>
    </row>
    <row r="60" spans="1:45" s="1021" customFormat="1" ht="60.75" thickBot="1" x14ac:dyDescent="0.3">
      <c r="A60" s="1534"/>
      <c r="B60" s="933">
        <v>16</v>
      </c>
      <c r="C60" s="933" t="s">
        <v>232</v>
      </c>
      <c r="D60" s="1538"/>
      <c r="E60" s="1067" t="s">
        <v>578</v>
      </c>
      <c r="F60" s="1068" t="s">
        <v>300</v>
      </c>
      <c r="G60" s="1069">
        <v>9372</v>
      </c>
      <c r="H60" s="929">
        <v>0.2</v>
      </c>
      <c r="I60" s="929" t="s">
        <v>42</v>
      </c>
      <c r="J60" s="930" t="s">
        <v>40</v>
      </c>
      <c r="K60" s="1282">
        <v>2313</v>
      </c>
      <c r="L60" s="941">
        <f t="shared" si="39"/>
        <v>2052</v>
      </c>
      <c r="M60" s="1045">
        <f t="shared" si="40"/>
        <v>0.88715953307392992</v>
      </c>
      <c r="N60" s="1283">
        <v>2313</v>
      </c>
      <c r="O60" s="941">
        <f t="shared" si="6"/>
        <v>350</v>
      </c>
      <c r="P60" s="1045">
        <f t="shared" si="41"/>
        <v>0.15131863380890617</v>
      </c>
      <c r="Q60" s="1283">
        <v>2313</v>
      </c>
      <c r="R60" s="941">
        <f t="shared" si="7"/>
        <v>0</v>
      </c>
      <c r="S60" s="1045">
        <f t="shared" si="42"/>
        <v>0</v>
      </c>
      <c r="T60" s="1283">
        <v>2318</v>
      </c>
      <c r="U60" s="941">
        <f t="shared" si="8"/>
        <v>0</v>
      </c>
      <c r="V60" s="1045">
        <f t="shared" si="43"/>
        <v>0</v>
      </c>
      <c r="W60" s="1101">
        <f t="shared" si="44"/>
        <v>9257</v>
      </c>
      <c r="X60" s="941">
        <f t="shared" si="45"/>
        <v>2402</v>
      </c>
      <c r="Y60" s="1102">
        <f t="shared" si="46"/>
        <v>0.25947931295236037</v>
      </c>
      <c r="Z60" s="936">
        <f t="shared" si="47"/>
        <v>5.1895862590472075E-2</v>
      </c>
      <c r="AA60" s="937" t="s">
        <v>342</v>
      </c>
      <c r="AB60" s="933" t="s">
        <v>493</v>
      </c>
      <c r="AC60" s="933" t="s">
        <v>494</v>
      </c>
      <c r="AD60" s="938" t="s">
        <v>43</v>
      </c>
      <c r="AE60" s="963" t="s">
        <v>401</v>
      </c>
      <c r="AF60" s="992">
        <f>+'PM 01 y PM05'!AF27</f>
        <v>2052</v>
      </c>
      <c r="AG60" s="1033">
        <f>+'PM 01 y PM05'!AG27</f>
        <v>2313</v>
      </c>
      <c r="AH60" s="1011"/>
      <c r="AI60" s="1305">
        <f>+'PM 01 y PM05'!AI27</f>
        <v>350</v>
      </c>
      <c r="AJ60" s="1030">
        <f>+'PM 01 y PM05'!AJ27</f>
        <v>2313</v>
      </c>
      <c r="AK60" s="1014"/>
      <c r="AL60" s="1012"/>
      <c r="AM60" s="1013"/>
      <c r="AN60" s="1015"/>
      <c r="AO60" s="1012"/>
      <c r="AP60" s="1013"/>
      <c r="AQ60" s="1015"/>
      <c r="AR60" s="1072"/>
      <c r="AS60" s="1015"/>
    </row>
    <row r="61" spans="1:45" s="903" customFormat="1" ht="45" x14ac:dyDescent="0.2">
      <c r="A61" s="1533" t="s">
        <v>594</v>
      </c>
      <c r="B61" s="1570">
        <v>17</v>
      </c>
      <c r="C61" s="1535" t="s">
        <v>735</v>
      </c>
      <c r="D61" s="1537">
        <v>0.08</v>
      </c>
      <c r="E61" s="201" t="s">
        <v>580</v>
      </c>
      <c r="F61" s="893" t="s">
        <v>654</v>
      </c>
      <c r="G61" s="1054">
        <v>6829</v>
      </c>
      <c r="H61" s="890">
        <v>0.2</v>
      </c>
      <c r="I61" s="890" t="s">
        <v>42</v>
      </c>
      <c r="J61" s="891" t="s">
        <v>40</v>
      </c>
      <c r="K61" s="1145">
        <v>50</v>
      </c>
      <c r="L61" s="1196">
        <f t="shared" si="39"/>
        <v>0</v>
      </c>
      <c r="M61" s="1056">
        <f t="shared" si="40"/>
        <v>0</v>
      </c>
      <c r="N61" s="1190">
        <v>250</v>
      </c>
      <c r="O61" s="1196">
        <f t="shared" si="6"/>
        <v>517</v>
      </c>
      <c r="P61" s="1056">
        <f t="shared" si="41"/>
        <v>2.0680000000000001</v>
      </c>
      <c r="Q61" s="1190">
        <v>250</v>
      </c>
      <c r="R61" s="1196">
        <f t="shared" si="7"/>
        <v>0</v>
      </c>
      <c r="S61" s="1056">
        <f t="shared" si="42"/>
        <v>0</v>
      </c>
      <c r="T61" s="1190">
        <v>200</v>
      </c>
      <c r="U61" s="1196">
        <f t="shared" si="8"/>
        <v>0</v>
      </c>
      <c r="V61" s="1056">
        <f t="shared" si="43"/>
        <v>0</v>
      </c>
      <c r="W61" s="1057">
        <f t="shared" si="44"/>
        <v>750</v>
      </c>
      <c r="X61" s="1196">
        <f t="shared" si="45"/>
        <v>517</v>
      </c>
      <c r="Y61" s="1002">
        <f t="shared" si="46"/>
        <v>0.68933333333333335</v>
      </c>
      <c r="Z61" s="896">
        <f t="shared" si="47"/>
        <v>0.13786666666666667</v>
      </c>
      <c r="AA61" s="897" t="s">
        <v>363</v>
      </c>
      <c r="AB61" s="888" t="s">
        <v>343</v>
      </c>
      <c r="AC61" s="888" t="s">
        <v>495</v>
      </c>
      <c r="AD61" s="898" t="s">
        <v>43</v>
      </c>
      <c r="AE61" s="899" t="s">
        <v>404</v>
      </c>
      <c r="AF61" s="892">
        <f>+'PM 02 y Pm04'!AF11</f>
        <v>0</v>
      </c>
      <c r="AG61" s="893">
        <f>+'PM 02 y Pm04'!AG11</f>
        <v>50</v>
      </c>
      <c r="AH61" s="1310"/>
      <c r="AI61" s="900">
        <f>+'PM 02 y Pm04'!AI11</f>
        <v>517</v>
      </c>
      <c r="AJ61" s="901">
        <f>+'PM 02 y Pm04'!AJ11</f>
        <v>250</v>
      </c>
      <c r="AK61" s="999"/>
      <c r="AL61" s="1235"/>
      <c r="AM61" s="901"/>
      <c r="AN61" s="1000"/>
      <c r="AO61" s="900"/>
      <c r="AP61" s="901"/>
      <c r="AQ61" s="1000"/>
      <c r="AR61" s="1092"/>
      <c r="AS61" s="1093"/>
    </row>
    <row r="62" spans="1:45" s="903" customFormat="1" ht="30" x14ac:dyDescent="0.2">
      <c r="A62" s="1545"/>
      <c r="B62" s="1571"/>
      <c r="C62" s="1546"/>
      <c r="D62" s="1547"/>
      <c r="E62" s="203" t="s">
        <v>581</v>
      </c>
      <c r="F62" s="909" t="s">
        <v>655</v>
      </c>
      <c r="G62" s="1066">
        <v>1493</v>
      </c>
      <c r="H62" s="906">
        <v>0.2</v>
      </c>
      <c r="I62" s="906" t="s">
        <v>42</v>
      </c>
      <c r="J62" s="907" t="s">
        <v>40</v>
      </c>
      <c r="K62" s="1001">
        <v>50</v>
      </c>
      <c r="L62" s="909">
        <f t="shared" si="39"/>
        <v>0</v>
      </c>
      <c r="M62" s="910">
        <f t="shared" si="40"/>
        <v>0</v>
      </c>
      <c r="N62" s="904">
        <v>50</v>
      </c>
      <c r="O62" s="909">
        <f t="shared" si="6"/>
        <v>171</v>
      </c>
      <c r="P62" s="910">
        <f t="shared" si="41"/>
        <v>3.42</v>
      </c>
      <c r="Q62" s="904">
        <v>50</v>
      </c>
      <c r="R62" s="909">
        <f t="shared" si="7"/>
        <v>0</v>
      </c>
      <c r="S62" s="910">
        <f t="shared" si="42"/>
        <v>0</v>
      </c>
      <c r="T62" s="904">
        <v>50</v>
      </c>
      <c r="U62" s="909">
        <f t="shared" si="8"/>
        <v>0</v>
      </c>
      <c r="V62" s="910">
        <f t="shared" si="43"/>
        <v>0</v>
      </c>
      <c r="W62" s="925">
        <f t="shared" si="44"/>
        <v>200</v>
      </c>
      <c r="X62" s="909">
        <f t="shared" si="45"/>
        <v>171</v>
      </c>
      <c r="Y62" s="926">
        <f t="shared" si="46"/>
        <v>0.85499999999999998</v>
      </c>
      <c r="Z62" s="912">
        <f t="shared" si="47"/>
        <v>0.17100000000000001</v>
      </c>
      <c r="AA62" s="913" t="s">
        <v>364</v>
      </c>
      <c r="AB62" s="904" t="s">
        <v>343</v>
      </c>
      <c r="AC62" s="904" t="s">
        <v>495</v>
      </c>
      <c r="AD62" s="914" t="s">
        <v>43</v>
      </c>
      <c r="AE62" s="915" t="s">
        <v>405</v>
      </c>
      <c r="AF62" s="908">
        <f>+'PM 02 y Pm04'!AF12</f>
        <v>0</v>
      </c>
      <c r="AG62" s="909">
        <f>+'PM 02 y Pm04'!AG12</f>
        <v>50</v>
      </c>
      <c r="AH62" s="1299"/>
      <c r="AI62" s="917">
        <f>+'PM 02 y Pm04'!AI12</f>
        <v>171</v>
      </c>
      <c r="AJ62" s="918">
        <f>+'PM 02 y Pm04'!AJ12</f>
        <v>50</v>
      </c>
      <c r="AK62" s="1003"/>
      <c r="AL62" s="1063"/>
      <c r="AM62" s="1007"/>
      <c r="AN62" s="1004"/>
      <c r="AO62" s="1006"/>
      <c r="AP62" s="1007"/>
      <c r="AQ62" s="1004"/>
      <c r="AR62" s="1094"/>
      <c r="AS62" s="1095"/>
    </row>
    <row r="63" spans="1:45" s="903" customFormat="1" ht="30" x14ac:dyDescent="0.2">
      <c r="A63" s="1545"/>
      <c r="B63" s="1571"/>
      <c r="C63" s="1546"/>
      <c r="D63" s="1547"/>
      <c r="E63" s="203" t="s">
        <v>582</v>
      </c>
      <c r="F63" s="909" t="s">
        <v>698</v>
      </c>
      <c r="G63" s="1066">
        <v>3788</v>
      </c>
      <c r="H63" s="906">
        <v>0.2</v>
      </c>
      <c r="I63" s="906" t="s">
        <v>42</v>
      </c>
      <c r="J63" s="907" t="s">
        <v>40</v>
      </c>
      <c r="K63" s="1001">
        <v>750</v>
      </c>
      <c r="L63" s="909">
        <f t="shared" si="39"/>
        <v>757</v>
      </c>
      <c r="M63" s="910">
        <f t="shared" si="40"/>
        <v>1.0093333333333334</v>
      </c>
      <c r="N63" s="904">
        <v>750</v>
      </c>
      <c r="O63" s="909">
        <f t="shared" si="6"/>
        <v>778</v>
      </c>
      <c r="P63" s="910">
        <f t="shared" si="41"/>
        <v>1.0373333333333334</v>
      </c>
      <c r="Q63" s="904">
        <v>750</v>
      </c>
      <c r="R63" s="909">
        <f t="shared" si="7"/>
        <v>0</v>
      </c>
      <c r="S63" s="910">
        <f t="shared" si="42"/>
        <v>0</v>
      </c>
      <c r="T63" s="904">
        <v>750</v>
      </c>
      <c r="U63" s="909">
        <f t="shared" si="8"/>
        <v>0</v>
      </c>
      <c r="V63" s="910">
        <f t="shared" si="43"/>
        <v>0</v>
      </c>
      <c r="W63" s="925">
        <f t="shared" si="44"/>
        <v>3000</v>
      </c>
      <c r="X63" s="909">
        <f t="shared" si="45"/>
        <v>1535</v>
      </c>
      <c r="Y63" s="926">
        <f t="shared" si="46"/>
        <v>0.51166666666666671</v>
      </c>
      <c r="Z63" s="912">
        <f t="shared" si="47"/>
        <v>0.10233333333333335</v>
      </c>
      <c r="AA63" s="913" t="s">
        <v>365</v>
      </c>
      <c r="AB63" s="904" t="s">
        <v>343</v>
      </c>
      <c r="AC63" s="904" t="s">
        <v>495</v>
      </c>
      <c r="AD63" s="914" t="s">
        <v>43</v>
      </c>
      <c r="AE63" s="915" t="s">
        <v>405</v>
      </c>
      <c r="AF63" s="908">
        <f>+'PM 02 y Pm04'!AF13</f>
        <v>757</v>
      </c>
      <c r="AG63" s="909">
        <f>+'PM 02 y Pm04'!AG13</f>
        <v>750</v>
      </c>
      <c r="AH63" s="1299"/>
      <c r="AI63" s="917">
        <f>+'PM 02 y Pm04'!AI13</f>
        <v>778</v>
      </c>
      <c r="AJ63" s="918">
        <f>+'PM 02 y Pm04'!AJ13</f>
        <v>750</v>
      </c>
      <c r="AK63" s="1065"/>
      <c r="AL63" s="1063"/>
      <c r="AM63" s="1007"/>
      <c r="AN63" s="1004"/>
      <c r="AO63" s="1006"/>
      <c r="AP63" s="1007"/>
      <c r="AQ63" s="1004"/>
      <c r="AR63" s="1094"/>
      <c r="AS63" s="1095"/>
    </row>
    <row r="64" spans="1:45" s="903" customFormat="1" ht="30" x14ac:dyDescent="0.2">
      <c r="A64" s="1545"/>
      <c r="B64" s="1571"/>
      <c r="C64" s="1546"/>
      <c r="D64" s="1547"/>
      <c r="E64" s="203" t="s">
        <v>583</v>
      </c>
      <c r="F64" s="909" t="s">
        <v>699</v>
      </c>
      <c r="G64" s="1066">
        <v>10400</v>
      </c>
      <c r="H64" s="906">
        <v>0.2</v>
      </c>
      <c r="I64" s="906" t="s">
        <v>42</v>
      </c>
      <c r="J64" s="907" t="s">
        <v>40</v>
      </c>
      <c r="K64" s="1001">
        <v>3000</v>
      </c>
      <c r="L64" s="909">
        <f t="shared" si="39"/>
        <v>2967</v>
      </c>
      <c r="M64" s="910">
        <f t="shared" si="40"/>
        <v>0.98899999999999999</v>
      </c>
      <c r="N64" s="904">
        <v>3000</v>
      </c>
      <c r="O64" s="909">
        <f t="shared" si="6"/>
        <v>6029</v>
      </c>
      <c r="P64" s="910">
        <f t="shared" si="41"/>
        <v>2.0096666666666665</v>
      </c>
      <c r="Q64" s="904">
        <v>3000</v>
      </c>
      <c r="R64" s="909">
        <f t="shared" si="7"/>
        <v>0</v>
      </c>
      <c r="S64" s="910">
        <f t="shared" si="42"/>
        <v>0</v>
      </c>
      <c r="T64" s="904">
        <v>2550</v>
      </c>
      <c r="U64" s="909">
        <f t="shared" si="8"/>
        <v>0</v>
      </c>
      <c r="V64" s="910">
        <f t="shared" si="43"/>
        <v>0</v>
      </c>
      <c r="W64" s="925">
        <f t="shared" si="44"/>
        <v>11550</v>
      </c>
      <c r="X64" s="909">
        <f t="shared" si="45"/>
        <v>8996</v>
      </c>
      <c r="Y64" s="926">
        <f t="shared" si="46"/>
        <v>0.77887445887445883</v>
      </c>
      <c r="Z64" s="912">
        <f t="shared" si="47"/>
        <v>0.15577489177489179</v>
      </c>
      <c r="AA64" s="913" t="s">
        <v>366</v>
      </c>
      <c r="AB64" s="904" t="s">
        <v>343</v>
      </c>
      <c r="AC64" s="904" t="s">
        <v>495</v>
      </c>
      <c r="AD64" s="914" t="s">
        <v>43</v>
      </c>
      <c r="AE64" s="915" t="s">
        <v>406</v>
      </c>
      <c r="AF64" s="908">
        <f>+'PM 02 y Pm04'!AF14</f>
        <v>2967</v>
      </c>
      <c r="AG64" s="909">
        <f>+'PM 02 y Pm04'!AG14</f>
        <v>3000</v>
      </c>
      <c r="AH64" s="1299"/>
      <c r="AI64" s="917">
        <f>+'PM 02 y Pm04'!AI14</f>
        <v>6029</v>
      </c>
      <c r="AJ64" s="918">
        <f>+'PM 02 y Pm04'!AJ14</f>
        <v>3000</v>
      </c>
      <c r="AK64" s="1065"/>
      <c r="AL64" s="1063"/>
      <c r="AM64" s="1007"/>
      <c r="AN64" s="1004"/>
      <c r="AO64" s="1006"/>
      <c r="AP64" s="1007"/>
      <c r="AQ64" s="1004"/>
      <c r="AR64" s="1094"/>
      <c r="AS64" s="1095"/>
    </row>
    <row r="65" spans="1:45" s="903" customFormat="1" ht="45.75" thickBot="1" x14ac:dyDescent="0.25">
      <c r="A65" s="1564"/>
      <c r="B65" s="1572"/>
      <c r="C65" s="1562"/>
      <c r="D65" s="1563"/>
      <c r="E65" s="205" t="s">
        <v>766</v>
      </c>
      <c r="F65" s="941" t="s">
        <v>306</v>
      </c>
      <c r="G65" s="1144">
        <v>0</v>
      </c>
      <c r="H65" s="1041">
        <v>0.2</v>
      </c>
      <c r="I65" s="1041" t="s">
        <v>42</v>
      </c>
      <c r="J65" s="1099" t="s">
        <v>40</v>
      </c>
      <c r="K65" s="1096">
        <v>0</v>
      </c>
      <c r="L65" s="928">
        <f t="shared" si="39"/>
        <v>0</v>
      </c>
      <c r="M65" s="934">
        <f t="shared" si="40"/>
        <v>0</v>
      </c>
      <c r="N65" s="933">
        <v>100</v>
      </c>
      <c r="O65" s="928">
        <f t="shared" si="6"/>
        <v>100</v>
      </c>
      <c r="P65" s="934">
        <f t="shared" si="41"/>
        <v>1</v>
      </c>
      <c r="Q65" s="933">
        <v>0</v>
      </c>
      <c r="R65" s="928">
        <f t="shared" si="7"/>
        <v>0</v>
      </c>
      <c r="S65" s="934">
        <f t="shared" si="42"/>
        <v>0</v>
      </c>
      <c r="T65" s="933">
        <v>900</v>
      </c>
      <c r="U65" s="928">
        <f t="shared" si="8"/>
        <v>0</v>
      </c>
      <c r="V65" s="934">
        <f t="shared" si="43"/>
        <v>0</v>
      </c>
      <c r="W65" s="1008">
        <f t="shared" si="44"/>
        <v>1000</v>
      </c>
      <c r="X65" s="928">
        <f t="shared" si="45"/>
        <v>100</v>
      </c>
      <c r="Y65" s="935">
        <f t="shared" si="46"/>
        <v>0.1</v>
      </c>
      <c r="Z65" s="936">
        <f t="shared" si="47"/>
        <v>2.0000000000000004E-2</v>
      </c>
      <c r="AA65" s="937" t="s">
        <v>367</v>
      </c>
      <c r="AB65" s="933" t="s">
        <v>496</v>
      </c>
      <c r="AC65" s="933" t="s">
        <v>497</v>
      </c>
      <c r="AD65" s="938" t="s">
        <v>43</v>
      </c>
      <c r="AE65" s="939" t="s">
        <v>407</v>
      </c>
      <c r="AF65" s="940">
        <f>+'PM 02 y Pm04'!AF15</f>
        <v>0</v>
      </c>
      <c r="AG65" s="941">
        <f>+'PM 02 y Pm04'!AG15</f>
        <v>0</v>
      </c>
      <c r="AH65" s="1311"/>
      <c r="AI65" s="942">
        <f>+'PM 02 y Pm04'!AI15</f>
        <v>100</v>
      </c>
      <c r="AJ65" s="943">
        <f>+'PM 02 y Pm04'!AJ15</f>
        <v>100</v>
      </c>
      <c r="AK65" s="1071"/>
      <c r="AL65" s="1072"/>
      <c r="AM65" s="1013"/>
      <c r="AN65" s="1015"/>
      <c r="AO65" s="1012"/>
      <c r="AP65" s="1013"/>
      <c r="AQ65" s="1015"/>
      <c r="AR65" s="1097"/>
      <c r="AS65" s="1098"/>
    </row>
    <row r="66" spans="1:45" s="903" customFormat="1" ht="63" x14ac:dyDescent="0.2">
      <c r="A66" s="1533" t="s">
        <v>594</v>
      </c>
      <c r="B66" s="1555">
        <v>18</v>
      </c>
      <c r="C66" s="1555" t="s">
        <v>312</v>
      </c>
      <c r="D66" s="1556">
        <v>0.09</v>
      </c>
      <c r="E66" s="207" t="s">
        <v>584</v>
      </c>
      <c r="F66" s="823" t="s">
        <v>309</v>
      </c>
      <c r="G66" s="822">
        <v>12</v>
      </c>
      <c r="H66" s="427">
        <v>0.1</v>
      </c>
      <c r="I66" s="833" t="s">
        <v>42</v>
      </c>
      <c r="J66" s="677" t="s">
        <v>40</v>
      </c>
      <c r="K66" s="1200">
        <v>2</v>
      </c>
      <c r="L66" s="1212">
        <f t="shared" si="39"/>
        <v>2</v>
      </c>
      <c r="M66" s="778">
        <f t="shared" si="40"/>
        <v>1</v>
      </c>
      <c r="N66" s="1198">
        <v>1</v>
      </c>
      <c r="O66" s="893">
        <f t="shared" si="6"/>
        <v>0</v>
      </c>
      <c r="P66" s="778">
        <f t="shared" si="41"/>
        <v>0</v>
      </c>
      <c r="Q66" s="1198">
        <v>2</v>
      </c>
      <c r="R66" s="893">
        <f t="shared" si="7"/>
        <v>0</v>
      </c>
      <c r="S66" s="778">
        <f t="shared" si="42"/>
        <v>0</v>
      </c>
      <c r="T66" s="1198">
        <v>3</v>
      </c>
      <c r="U66" s="893">
        <f t="shared" si="8"/>
        <v>0</v>
      </c>
      <c r="V66" s="778">
        <f t="shared" si="43"/>
        <v>0</v>
      </c>
      <c r="W66" s="788">
        <f t="shared" si="44"/>
        <v>8</v>
      </c>
      <c r="X66" s="1212">
        <f t="shared" si="45"/>
        <v>2</v>
      </c>
      <c r="Y66" s="128">
        <f t="shared" si="46"/>
        <v>0.25</v>
      </c>
      <c r="Z66" s="764">
        <f t="shared" si="47"/>
        <v>2.5000000000000001E-2</v>
      </c>
      <c r="AA66" s="433" t="s">
        <v>344</v>
      </c>
      <c r="AB66" s="836" t="s">
        <v>498</v>
      </c>
      <c r="AC66" s="836" t="s">
        <v>499</v>
      </c>
      <c r="AD66" s="898" t="s">
        <v>43</v>
      </c>
      <c r="AE66" s="948" t="s">
        <v>404</v>
      </c>
      <c r="AF66" s="996">
        <f>+'PM 02 y Pm04'!AF16</f>
        <v>2</v>
      </c>
      <c r="AG66" s="997">
        <f>+'PM 02 y Pm04'!AG16</f>
        <v>2</v>
      </c>
      <c r="AH66" s="1331"/>
      <c r="AI66" s="900">
        <f>+'PM 02 y Pm04'!AI16</f>
        <v>0</v>
      </c>
      <c r="AJ66" s="901">
        <f>+'PM 02 y Pm04'!AJ16</f>
        <v>1</v>
      </c>
      <c r="AK66" s="1086"/>
      <c r="AL66" s="1059"/>
      <c r="AM66" s="1085"/>
      <c r="AN66" s="1000"/>
      <c r="AO66" s="1087"/>
      <c r="AP66" s="1085"/>
      <c r="AQ66" s="1000"/>
      <c r="AR66" s="1092"/>
      <c r="AS66" s="1093"/>
    </row>
    <row r="67" spans="1:45" s="903" customFormat="1" ht="31.5" x14ac:dyDescent="0.2">
      <c r="A67" s="1545"/>
      <c r="B67" s="1546"/>
      <c r="C67" s="1546"/>
      <c r="D67" s="1547"/>
      <c r="E67" s="209" t="s">
        <v>637</v>
      </c>
      <c r="F67" s="823" t="s">
        <v>308</v>
      </c>
      <c r="G67" s="829">
        <v>12</v>
      </c>
      <c r="H67" s="819">
        <v>0.1</v>
      </c>
      <c r="I67" s="816" t="s">
        <v>42</v>
      </c>
      <c r="J67" s="678" t="s">
        <v>106</v>
      </c>
      <c r="K67" s="1201">
        <v>20</v>
      </c>
      <c r="L67" s="1211">
        <f t="shared" si="39"/>
        <v>14</v>
      </c>
      <c r="M67" s="674">
        <f t="shared" si="40"/>
        <v>0.7</v>
      </c>
      <c r="N67" s="1199">
        <v>20</v>
      </c>
      <c r="O67" s="909">
        <f t="shared" si="6"/>
        <v>17</v>
      </c>
      <c r="P67" s="674">
        <f t="shared" si="41"/>
        <v>0.85</v>
      </c>
      <c r="Q67" s="1199">
        <v>20</v>
      </c>
      <c r="R67" s="909">
        <f t="shared" si="7"/>
        <v>0</v>
      </c>
      <c r="S67" s="674">
        <f t="shared" si="42"/>
        <v>0</v>
      </c>
      <c r="T67" s="1199">
        <v>20</v>
      </c>
      <c r="U67" s="909">
        <f t="shared" si="8"/>
        <v>0</v>
      </c>
      <c r="V67" s="674">
        <f t="shared" si="43"/>
        <v>0</v>
      </c>
      <c r="W67" s="762">
        <f t="shared" si="44"/>
        <v>20</v>
      </c>
      <c r="X67" s="1211">
        <f t="shared" si="45"/>
        <v>7.75</v>
      </c>
      <c r="Y67" s="190">
        <f t="shared" si="46"/>
        <v>0.38750000000000001</v>
      </c>
      <c r="Z67" s="768">
        <f t="shared" si="47"/>
        <v>3.8750000000000007E-2</v>
      </c>
      <c r="AA67" s="146" t="s">
        <v>500</v>
      </c>
      <c r="AB67" s="812" t="s">
        <v>501</v>
      </c>
      <c r="AC67" s="812" t="s">
        <v>502</v>
      </c>
      <c r="AD67" s="914" t="s">
        <v>43</v>
      </c>
      <c r="AE67" s="954" t="s">
        <v>404</v>
      </c>
      <c r="AF67" s="996">
        <f>+'PM 02 y Pm04'!AF17</f>
        <v>14</v>
      </c>
      <c r="AG67" s="997">
        <f>+'PM 02 y Pm04'!AG17</f>
        <v>20</v>
      </c>
      <c r="AH67" s="1299"/>
      <c r="AI67" s="917">
        <f>+'PM 02 y Pm04'!AI17</f>
        <v>17</v>
      </c>
      <c r="AJ67" s="918">
        <f>+'PM 02 y Pm04'!AJ17</f>
        <v>20</v>
      </c>
      <c r="AK67" s="1065"/>
      <c r="AL67" s="1063"/>
      <c r="AM67" s="1007"/>
      <c r="AN67" s="1004"/>
      <c r="AO67" s="1006"/>
      <c r="AP67" s="1007"/>
      <c r="AQ67" s="1004"/>
      <c r="AR67" s="1094"/>
      <c r="AS67" s="1095"/>
    </row>
    <row r="68" spans="1:45" s="903" customFormat="1" ht="63" x14ac:dyDescent="0.2">
      <c r="A68" s="1545"/>
      <c r="B68" s="1546"/>
      <c r="C68" s="1546"/>
      <c r="D68" s="1547"/>
      <c r="E68" s="207" t="s">
        <v>638</v>
      </c>
      <c r="F68" s="823" t="s">
        <v>746</v>
      </c>
      <c r="G68" s="829">
        <v>0</v>
      </c>
      <c r="H68" s="819">
        <v>0.1</v>
      </c>
      <c r="I68" s="816" t="s">
        <v>42</v>
      </c>
      <c r="J68" s="678" t="s">
        <v>40</v>
      </c>
      <c r="K68" s="1201">
        <v>40</v>
      </c>
      <c r="L68" s="1211">
        <f t="shared" si="39"/>
        <v>0</v>
      </c>
      <c r="M68" s="674">
        <f t="shared" si="40"/>
        <v>0</v>
      </c>
      <c r="N68" s="1199">
        <v>40</v>
      </c>
      <c r="O68" s="909">
        <f t="shared" si="6"/>
        <v>10</v>
      </c>
      <c r="P68" s="674">
        <f t="shared" si="41"/>
        <v>0.25</v>
      </c>
      <c r="Q68" s="1199">
        <v>20</v>
      </c>
      <c r="R68" s="909">
        <f t="shared" si="7"/>
        <v>0</v>
      </c>
      <c r="S68" s="674">
        <f t="shared" si="42"/>
        <v>0</v>
      </c>
      <c r="T68" s="1199">
        <v>0</v>
      </c>
      <c r="U68" s="909">
        <f t="shared" si="8"/>
        <v>0</v>
      </c>
      <c r="V68" s="674">
        <f t="shared" si="43"/>
        <v>0</v>
      </c>
      <c r="W68" s="762">
        <f t="shared" si="44"/>
        <v>100</v>
      </c>
      <c r="X68" s="1211">
        <f t="shared" si="45"/>
        <v>10</v>
      </c>
      <c r="Y68" s="190">
        <f t="shared" si="46"/>
        <v>0.1</v>
      </c>
      <c r="Z68" s="768">
        <f t="shared" si="47"/>
        <v>1.0000000000000002E-2</v>
      </c>
      <c r="AA68" s="146" t="s">
        <v>749</v>
      </c>
      <c r="AB68" s="812" t="s">
        <v>747</v>
      </c>
      <c r="AC68" s="812" t="s">
        <v>748</v>
      </c>
      <c r="AD68" s="914" t="s">
        <v>43</v>
      </c>
      <c r="AE68" s="954"/>
      <c r="AF68" s="996">
        <f>+'PM 02 y Pm04'!AF18</f>
        <v>0</v>
      </c>
      <c r="AG68" s="997">
        <f>+'PM 02 y Pm04'!AG18</f>
        <v>40</v>
      </c>
      <c r="AH68" s="1299"/>
      <c r="AI68" s="917">
        <f>+'PM 02 y Pm04'!AI18</f>
        <v>10</v>
      </c>
      <c r="AJ68" s="918">
        <f>+'PM 02 y Pm04'!AJ18</f>
        <v>40</v>
      </c>
      <c r="AK68" s="1065"/>
      <c r="AL68" s="1063"/>
      <c r="AM68" s="1007"/>
      <c r="AN68" s="1004"/>
      <c r="AO68" s="1006"/>
      <c r="AP68" s="1007"/>
      <c r="AQ68" s="1004"/>
      <c r="AR68" s="1094"/>
      <c r="AS68" s="1095"/>
    </row>
    <row r="69" spans="1:45" s="903" customFormat="1" ht="47.25" x14ac:dyDescent="0.2">
      <c r="A69" s="1545"/>
      <c r="B69" s="1546"/>
      <c r="C69" s="1546"/>
      <c r="D69" s="1547"/>
      <c r="E69" s="209" t="s">
        <v>639</v>
      </c>
      <c r="F69" s="823" t="s">
        <v>503</v>
      </c>
      <c r="G69" s="829">
        <v>411</v>
      </c>
      <c r="H69" s="819">
        <v>0.15</v>
      </c>
      <c r="I69" s="816" t="s">
        <v>42</v>
      </c>
      <c r="J69" s="215" t="s">
        <v>40</v>
      </c>
      <c r="K69" s="1201">
        <v>250</v>
      </c>
      <c r="L69" s="1211">
        <f t="shared" si="39"/>
        <v>252</v>
      </c>
      <c r="M69" s="674">
        <f t="shared" si="40"/>
        <v>1.008</v>
      </c>
      <c r="N69" s="1199">
        <v>300</v>
      </c>
      <c r="O69" s="909">
        <f t="shared" si="6"/>
        <v>252</v>
      </c>
      <c r="P69" s="674">
        <f t="shared" si="41"/>
        <v>0.84</v>
      </c>
      <c r="Q69" s="1199">
        <v>550</v>
      </c>
      <c r="R69" s="909">
        <f t="shared" si="7"/>
        <v>0</v>
      </c>
      <c r="S69" s="674">
        <f t="shared" si="42"/>
        <v>0</v>
      </c>
      <c r="T69" s="1199">
        <v>400</v>
      </c>
      <c r="U69" s="909">
        <f t="shared" si="8"/>
        <v>0</v>
      </c>
      <c r="V69" s="674">
        <f t="shared" si="43"/>
        <v>0</v>
      </c>
      <c r="W69" s="762">
        <f t="shared" si="44"/>
        <v>1500</v>
      </c>
      <c r="X69" s="1211">
        <f t="shared" si="45"/>
        <v>504</v>
      </c>
      <c r="Y69" s="190">
        <f t="shared" si="46"/>
        <v>0.33600000000000002</v>
      </c>
      <c r="Z69" s="768">
        <f t="shared" si="47"/>
        <v>5.04E-2</v>
      </c>
      <c r="AA69" s="146" t="s">
        <v>403</v>
      </c>
      <c r="AB69" s="812" t="s">
        <v>504</v>
      </c>
      <c r="AC69" s="812" t="s">
        <v>505</v>
      </c>
      <c r="AD69" s="914" t="s">
        <v>43</v>
      </c>
      <c r="AE69" s="954" t="s">
        <v>408</v>
      </c>
      <c r="AF69" s="996">
        <f>+'PM 02 y Pm04'!AF19</f>
        <v>252</v>
      </c>
      <c r="AG69" s="997">
        <f>+'PM 02 y Pm04'!AG19</f>
        <v>250</v>
      </c>
      <c r="AH69" s="1299"/>
      <c r="AI69" s="917">
        <f>+'PM 02 y Pm04'!AI19</f>
        <v>252</v>
      </c>
      <c r="AJ69" s="918">
        <f>+'PM 02 y Pm04'!AJ19</f>
        <v>300</v>
      </c>
      <c r="AK69" s="1065"/>
      <c r="AL69" s="1063"/>
      <c r="AM69" s="1007"/>
      <c r="AN69" s="1004"/>
      <c r="AO69" s="1006"/>
      <c r="AP69" s="1007"/>
      <c r="AQ69" s="1004"/>
      <c r="AR69" s="1094"/>
      <c r="AS69" s="1095"/>
    </row>
    <row r="70" spans="1:45" s="903" customFormat="1" ht="60" customHeight="1" x14ac:dyDescent="0.2">
      <c r="A70" s="1545"/>
      <c r="B70" s="1546"/>
      <c r="C70" s="1546"/>
      <c r="D70" s="1547"/>
      <c r="E70" s="207" t="s">
        <v>640</v>
      </c>
      <c r="F70" s="823" t="s">
        <v>700</v>
      </c>
      <c r="G70" s="829">
        <v>54</v>
      </c>
      <c r="H70" s="819">
        <v>0.15</v>
      </c>
      <c r="I70" s="816" t="s">
        <v>42</v>
      </c>
      <c r="J70" s="215" t="s">
        <v>40</v>
      </c>
      <c r="K70" s="1201">
        <v>45</v>
      </c>
      <c r="L70" s="1211">
        <f t="shared" si="39"/>
        <v>44</v>
      </c>
      <c r="M70" s="674">
        <f t="shared" si="40"/>
        <v>0.97777777777777775</v>
      </c>
      <c r="N70" s="1199">
        <v>15</v>
      </c>
      <c r="O70" s="909">
        <f t="shared" si="6"/>
        <v>27</v>
      </c>
      <c r="P70" s="674">
        <f t="shared" si="41"/>
        <v>1.8</v>
      </c>
      <c r="Q70" s="1199">
        <v>10</v>
      </c>
      <c r="R70" s="909">
        <f t="shared" si="7"/>
        <v>0</v>
      </c>
      <c r="S70" s="674">
        <f t="shared" si="42"/>
        <v>0</v>
      </c>
      <c r="T70" s="1199">
        <v>10</v>
      </c>
      <c r="U70" s="909">
        <f t="shared" si="8"/>
        <v>0</v>
      </c>
      <c r="V70" s="674">
        <f t="shared" si="43"/>
        <v>0</v>
      </c>
      <c r="W70" s="762">
        <f t="shared" si="44"/>
        <v>80</v>
      </c>
      <c r="X70" s="1211">
        <f t="shared" si="45"/>
        <v>71</v>
      </c>
      <c r="Y70" s="190">
        <f t="shared" si="46"/>
        <v>0.88749999999999996</v>
      </c>
      <c r="Z70" s="768">
        <f t="shared" si="47"/>
        <v>0.13312499999999999</v>
      </c>
      <c r="AA70" s="146" t="s">
        <v>368</v>
      </c>
      <c r="AB70" s="812" t="s">
        <v>506</v>
      </c>
      <c r="AC70" s="812" t="s">
        <v>507</v>
      </c>
      <c r="AD70" s="914" t="s">
        <v>43</v>
      </c>
      <c r="AE70" s="954" t="s">
        <v>408</v>
      </c>
      <c r="AF70" s="996">
        <f>+'PM 02 y Pm04'!AF20</f>
        <v>44</v>
      </c>
      <c r="AG70" s="997">
        <f>+'PM 02 y Pm04'!AG20</f>
        <v>45</v>
      </c>
      <c r="AH70" s="1299"/>
      <c r="AI70" s="917">
        <f>+'PM 02 y Pm04'!AI20</f>
        <v>27</v>
      </c>
      <c r="AJ70" s="918">
        <f>+'PM 02 y Pm04'!AJ20</f>
        <v>15</v>
      </c>
      <c r="AK70" s="1065"/>
      <c r="AL70" s="1063"/>
      <c r="AM70" s="1007"/>
      <c r="AN70" s="1004"/>
      <c r="AO70" s="1006"/>
      <c r="AP70" s="1007"/>
      <c r="AQ70" s="1004"/>
      <c r="AR70" s="1094"/>
      <c r="AS70" s="1095"/>
    </row>
    <row r="71" spans="1:45" s="903" customFormat="1" ht="60" customHeight="1" x14ac:dyDescent="0.2">
      <c r="A71" s="1545"/>
      <c r="B71" s="1546"/>
      <c r="C71" s="1546"/>
      <c r="D71" s="1547"/>
      <c r="E71" s="209" t="s">
        <v>767</v>
      </c>
      <c r="F71" s="823" t="s">
        <v>762</v>
      </c>
      <c r="G71" s="829">
        <v>0</v>
      </c>
      <c r="H71" s="819">
        <v>0.1</v>
      </c>
      <c r="I71" s="816" t="s">
        <v>42</v>
      </c>
      <c r="J71" s="215" t="s">
        <v>40</v>
      </c>
      <c r="K71" s="1201">
        <v>10</v>
      </c>
      <c r="L71" s="1211">
        <f t="shared" si="39"/>
        <v>10</v>
      </c>
      <c r="M71" s="674">
        <f t="shared" si="40"/>
        <v>1</v>
      </c>
      <c r="N71" s="1199">
        <v>30</v>
      </c>
      <c r="O71" s="909">
        <f t="shared" si="6"/>
        <v>6</v>
      </c>
      <c r="P71" s="674">
        <f t="shared" si="41"/>
        <v>0.2</v>
      </c>
      <c r="Q71" s="1199">
        <v>20</v>
      </c>
      <c r="R71" s="909">
        <f t="shared" si="7"/>
        <v>0</v>
      </c>
      <c r="S71" s="674">
        <f t="shared" si="42"/>
        <v>0</v>
      </c>
      <c r="T71" s="1199">
        <v>0</v>
      </c>
      <c r="U71" s="909">
        <f t="shared" si="8"/>
        <v>0</v>
      </c>
      <c r="V71" s="674">
        <f t="shared" si="43"/>
        <v>0</v>
      </c>
      <c r="W71" s="762">
        <f t="shared" si="44"/>
        <v>60</v>
      </c>
      <c r="X71" s="1211">
        <f t="shared" si="45"/>
        <v>16</v>
      </c>
      <c r="Y71" s="190">
        <f t="shared" si="46"/>
        <v>0.26666666666666666</v>
      </c>
      <c r="Z71" s="768">
        <f t="shared" si="47"/>
        <v>2.6666666666666668E-2</v>
      </c>
      <c r="AA71" s="146" t="s">
        <v>763</v>
      </c>
      <c r="AB71" s="812" t="s">
        <v>764</v>
      </c>
      <c r="AC71" s="812" t="s">
        <v>765</v>
      </c>
      <c r="AD71" s="914" t="s">
        <v>43</v>
      </c>
      <c r="AE71" s="954"/>
      <c r="AF71" s="996">
        <f>+'PM 02 y Pm04'!AF21</f>
        <v>10</v>
      </c>
      <c r="AG71" s="997">
        <f>+'PM 02 y Pm04'!AG21</f>
        <v>16</v>
      </c>
      <c r="AH71" s="1299"/>
      <c r="AI71" s="917">
        <f>+'PM 02 y Pm04'!AI21</f>
        <v>6</v>
      </c>
      <c r="AJ71" s="918">
        <f>+'PM 02 y Pm04'!AJ21</f>
        <v>30</v>
      </c>
      <c r="AK71" s="1065"/>
      <c r="AL71" s="1063"/>
      <c r="AM71" s="1007"/>
      <c r="AN71" s="1004"/>
      <c r="AO71" s="1006"/>
      <c r="AP71" s="1007"/>
      <c r="AQ71" s="1004"/>
      <c r="AR71" s="1094"/>
      <c r="AS71" s="1095"/>
    </row>
    <row r="72" spans="1:45" s="903" customFormat="1" ht="31.5" x14ac:dyDescent="0.2">
      <c r="A72" s="1545"/>
      <c r="B72" s="1546"/>
      <c r="C72" s="1546"/>
      <c r="D72" s="1547"/>
      <c r="E72" s="207" t="s">
        <v>768</v>
      </c>
      <c r="F72" s="823" t="s">
        <v>307</v>
      </c>
      <c r="G72" s="829">
        <v>523</v>
      </c>
      <c r="H72" s="819">
        <v>0.15</v>
      </c>
      <c r="I72" s="816" t="s">
        <v>42</v>
      </c>
      <c r="J72" s="215" t="s">
        <v>40</v>
      </c>
      <c r="K72" s="1201">
        <v>300</v>
      </c>
      <c r="L72" s="1211">
        <f t="shared" si="39"/>
        <v>878</v>
      </c>
      <c r="M72" s="674">
        <f t="shared" si="40"/>
        <v>2.9266666666666667</v>
      </c>
      <c r="N72" s="1199">
        <v>300</v>
      </c>
      <c r="O72" s="909">
        <f t="shared" si="6"/>
        <v>410</v>
      </c>
      <c r="P72" s="674">
        <f t="shared" si="41"/>
        <v>1.3666666666666667</v>
      </c>
      <c r="Q72" s="1199">
        <v>300</v>
      </c>
      <c r="R72" s="909">
        <f t="shared" si="7"/>
        <v>0</v>
      </c>
      <c r="S72" s="674">
        <f t="shared" si="42"/>
        <v>0</v>
      </c>
      <c r="T72" s="1199">
        <v>300</v>
      </c>
      <c r="U72" s="909">
        <f t="shared" si="8"/>
        <v>0</v>
      </c>
      <c r="V72" s="674">
        <f t="shared" si="43"/>
        <v>0</v>
      </c>
      <c r="W72" s="762">
        <f t="shared" si="44"/>
        <v>1200</v>
      </c>
      <c r="X72" s="1211">
        <f t="shared" si="45"/>
        <v>1288</v>
      </c>
      <c r="Y72" s="190">
        <f t="shared" si="46"/>
        <v>1.0733333333333333</v>
      </c>
      <c r="Z72" s="768">
        <f t="shared" si="47"/>
        <v>0.16099999999999998</v>
      </c>
      <c r="AA72" s="146" t="s">
        <v>369</v>
      </c>
      <c r="AB72" s="812" t="s">
        <v>508</v>
      </c>
      <c r="AC72" s="812" t="s">
        <v>509</v>
      </c>
      <c r="AD72" s="914" t="s">
        <v>43</v>
      </c>
      <c r="AE72" s="954" t="s">
        <v>408</v>
      </c>
      <c r="AF72" s="996">
        <f>+'PM 02 y Pm04'!AF22</f>
        <v>878</v>
      </c>
      <c r="AG72" s="997">
        <f>+'PM 02 y Pm04'!AG22</f>
        <v>300</v>
      </c>
      <c r="AH72" s="1299"/>
      <c r="AI72" s="917">
        <f>+'PM 02 y Pm04'!AI22</f>
        <v>410</v>
      </c>
      <c r="AJ72" s="918">
        <f>+'PM 02 y Pm04'!AJ22</f>
        <v>300</v>
      </c>
      <c r="AK72" s="1065"/>
      <c r="AL72" s="1063"/>
      <c r="AM72" s="1007"/>
      <c r="AN72" s="1004"/>
      <c r="AO72" s="1006"/>
      <c r="AP72" s="1007"/>
      <c r="AQ72" s="1004"/>
      <c r="AR72" s="1094"/>
      <c r="AS72" s="1095"/>
    </row>
    <row r="73" spans="1:45" s="903" customFormat="1" ht="58.5" customHeight="1" x14ac:dyDescent="0.2">
      <c r="A73" s="1534"/>
      <c r="B73" s="1536"/>
      <c r="C73" s="1536"/>
      <c r="D73" s="1538"/>
      <c r="E73" s="831" t="s">
        <v>769</v>
      </c>
      <c r="F73" s="829" t="s">
        <v>750</v>
      </c>
      <c r="G73" s="126">
        <v>0</v>
      </c>
      <c r="H73" s="816">
        <v>0.1</v>
      </c>
      <c r="I73" s="816" t="s">
        <v>42</v>
      </c>
      <c r="J73" s="215" t="s">
        <v>40</v>
      </c>
      <c r="K73" s="1201">
        <v>50</v>
      </c>
      <c r="L73" s="1211">
        <f t="shared" si="39"/>
        <v>31</v>
      </c>
      <c r="M73" s="674">
        <f t="shared" si="40"/>
        <v>0.62</v>
      </c>
      <c r="N73" s="1199">
        <v>50</v>
      </c>
      <c r="O73" s="909">
        <f t="shared" si="6"/>
        <v>278</v>
      </c>
      <c r="P73" s="674">
        <f t="shared" si="41"/>
        <v>5.56</v>
      </c>
      <c r="Q73" s="1199">
        <v>50</v>
      </c>
      <c r="R73" s="909">
        <f t="shared" si="7"/>
        <v>0</v>
      </c>
      <c r="S73" s="674">
        <f t="shared" si="42"/>
        <v>0</v>
      </c>
      <c r="T73" s="1199">
        <v>88</v>
      </c>
      <c r="U73" s="909">
        <f t="shared" si="8"/>
        <v>0</v>
      </c>
      <c r="V73" s="674">
        <f t="shared" si="43"/>
        <v>0</v>
      </c>
      <c r="W73" s="762">
        <f t="shared" si="44"/>
        <v>238</v>
      </c>
      <c r="X73" s="1211">
        <f t="shared" si="45"/>
        <v>309</v>
      </c>
      <c r="Y73" s="190">
        <f t="shared" si="46"/>
        <v>1.2983193277310925</v>
      </c>
      <c r="Z73" s="768">
        <f t="shared" si="47"/>
        <v>0.12983193277310925</v>
      </c>
      <c r="AA73" s="146" t="s">
        <v>745</v>
      </c>
      <c r="AB73" s="812" t="s">
        <v>744</v>
      </c>
      <c r="AC73" s="812" t="s">
        <v>743</v>
      </c>
      <c r="AD73" s="914" t="s">
        <v>43</v>
      </c>
      <c r="AE73" s="963"/>
      <c r="AF73" s="996">
        <f>+'PM 02 y Pm04'!AF23</f>
        <v>31</v>
      </c>
      <c r="AG73" s="997">
        <f>+'PM 02 y Pm04'!AG23</f>
        <v>50</v>
      </c>
      <c r="AH73" s="1328"/>
      <c r="AI73" s="917">
        <f>+'PM 02 y Pm04'!AI23</f>
        <v>278</v>
      </c>
      <c r="AJ73" s="918">
        <f>+'PM 02 y Pm04'!AJ23</f>
        <v>50</v>
      </c>
      <c r="AK73" s="1065"/>
      <c r="AL73" s="1072"/>
      <c r="AM73" s="1013"/>
      <c r="AN73" s="1015"/>
      <c r="AO73" s="1012"/>
      <c r="AP73" s="1013"/>
      <c r="AQ73" s="1015"/>
      <c r="AR73" s="1097"/>
      <c r="AS73" s="1098"/>
    </row>
    <row r="74" spans="1:45" s="903" customFormat="1" ht="32.25" thickBot="1" x14ac:dyDescent="0.25">
      <c r="A74" s="1534"/>
      <c r="B74" s="1536"/>
      <c r="C74" s="1536"/>
      <c r="D74" s="1538"/>
      <c r="E74" s="211" t="s">
        <v>770</v>
      </c>
      <c r="F74" s="824" t="s">
        <v>751</v>
      </c>
      <c r="G74" s="126">
        <v>500</v>
      </c>
      <c r="H74" s="816">
        <v>0.15</v>
      </c>
      <c r="I74" s="816" t="s">
        <v>42</v>
      </c>
      <c r="J74" s="215" t="s">
        <v>40</v>
      </c>
      <c r="K74" s="1202">
        <v>300</v>
      </c>
      <c r="L74" s="486">
        <f t="shared" si="39"/>
        <v>312</v>
      </c>
      <c r="M74" s="789">
        <f t="shared" si="40"/>
        <v>1.04</v>
      </c>
      <c r="N74" s="1205">
        <v>400</v>
      </c>
      <c r="O74" s="941">
        <f t="shared" si="6"/>
        <v>48</v>
      </c>
      <c r="P74" s="789">
        <f t="shared" si="41"/>
        <v>0.12</v>
      </c>
      <c r="Q74" s="1205">
        <v>200</v>
      </c>
      <c r="R74" s="941">
        <f t="shared" si="7"/>
        <v>0</v>
      </c>
      <c r="S74" s="789">
        <f t="shared" si="42"/>
        <v>0</v>
      </c>
      <c r="T74" s="1205">
        <v>200</v>
      </c>
      <c r="U74" s="941">
        <f t="shared" si="8"/>
        <v>0</v>
      </c>
      <c r="V74" s="789">
        <f t="shared" si="43"/>
        <v>0</v>
      </c>
      <c r="W74" s="790">
        <f t="shared" si="44"/>
        <v>1100</v>
      </c>
      <c r="X74" s="486">
        <f t="shared" si="45"/>
        <v>360</v>
      </c>
      <c r="Y74" s="158">
        <f t="shared" si="46"/>
        <v>0.32727272727272727</v>
      </c>
      <c r="Z74" s="769">
        <f t="shared" si="47"/>
        <v>4.9090909090909088E-2</v>
      </c>
      <c r="AA74" s="161" t="s">
        <v>370</v>
      </c>
      <c r="AB74" s="812" t="s">
        <v>508</v>
      </c>
      <c r="AC74" s="812" t="s">
        <v>509</v>
      </c>
      <c r="AD74" s="938" t="s">
        <v>43</v>
      </c>
      <c r="AE74" s="963" t="s">
        <v>409</v>
      </c>
      <c r="AF74" s="996">
        <f>+'PM 02 y Pm04'!AF24</f>
        <v>312</v>
      </c>
      <c r="AG74" s="997">
        <f>+'PM 02 y Pm04'!AG24</f>
        <v>300</v>
      </c>
      <c r="AH74" s="1328"/>
      <c r="AI74" s="942">
        <f>+'PM 02 y Pm04'!AI24</f>
        <v>48</v>
      </c>
      <c r="AJ74" s="943">
        <f>+'PM 02 y Pm04'!AJ24</f>
        <v>400</v>
      </c>
      <c r="AK74" s="1014"/>
      <c r="AL74" s="1072"/>
      <c r="AM74" s="1013"/>
      <c r="AN74" s="1015"/>
      <c r="AO74" s="1012"/>
      <c r="AP74" s="1013"/>
      <c r="AQ74" s="1015"/>
      <c r="AR74" s="1097"/>
      <c r="AS74" s="1098"/>
    </row>
    <row r="75" spans="1:45" s="903" customFormat="1" ht="45" x14ac:dyDescent="0.2">
      <c r="A75" s="1533" t="s">
        <v>594</v>
      </c>
      <c r="B75" s="1535">
        <v>19</v>
      </c>
      <c r="C75" s="1535" t="s">
        <v>230</v>
      </c>
      <c r="D75" s="1537">
        <v>0.03</v>
      </c>
      <c r="E75" s="888" t="s">
        <v>585</v>
      </c>
      <c r="F75" s="893" t="s">
        <v>345</v>
      </c>
      <c r="G75" s="1054">
        <v>0</v>
      </c>
      <c r="H75" s="890">
        <v>0.5</v>
      </c>
      <c r="I75" s="890" t="s">
        <v>42</v>
      </c>
      <c r="J75" s="891" t="s">
        <v>40</v>
      </c>
      <c r="K75" s="1145">
        <v>1</v>
      </c>
      <c r="L75" s="997">
        <f t="shared" si="39"/>
        <v>1</v>
      </c>
      <c r="M75" s="1056">
        <f t="shared" si="40"/>
        <v>1</v>
      </c>
      <c r="N75" s="1036">
        <v>5</v>
      </c>
      <c r="O75" s="1196">
        <f t="shared" ref="O75:O78" si="48">IF(I75="Cantidad",AI75,IF(ISERROR(AI75/AJ75),0,AI75/AJ75))</f>
        <v>8</v>
      </c>
      <c r="P75" s="1056">
        <f t="shared" si="41"/>
        <v>1.6</v>
      </c>
      <c r="Q75" s="1036">
        <v>6</v>
      </c>
      <c r="R75" s="1196">
        <f t="shared" ref="R75:R78" si="49">IF(I75="Cantidad",AL75,IF(ISERROR(AL75/AM75),0,AL75/AM75))</f>
        <v>0</v>
      </c>
      <c r="S75" s="1056">
        <f t="shared" si="42"/>
        <v>0</v>
      </c>
      <c r="T75" s="1036">
        <v>4</v>
      </c>
      <c r="U75" s="1196">
        <f t="shared" ref="U75:U78" si="50">IF(I75="Cantidad",AO75,IF(ISERROR(AO75/AP75),0,AO75/AP75))</f>
        <v>0</v>
      </c>
      <c r="V75" s="1056">
        <f t="shared" si="43"/>
        <v>0</v>
      </c>
      <c r="W75" s="1057">
        <f t="shared" si="44"/>
        <v>16</v>
      </c>
      <c r="X75" s="997">
        <f t="shared" si="45"/>
        <v>9</v>
      </c>
      <c r="Y75" s="1002">
        <f t="shared" si="46"/>
        <v>0.5625</v>
      </c>
      <c r="Z75" s="1058">
        <f t="shared" si="47"/>
        <v>0.28125</v>
      </c>
      <c r="AA75" s="897" t="s">
        <v>590</v>
      </c>
      <c r="AB75" s="888" t="s">
        <v>371</v>
      </c>
      <c r="AC75" s="888" t="s">
        <v>372</v>
      </c>
      <c r="AD75" s="898" t="s">
        <v>43</v>
      </c>
      <c r="AE75" s="899" t="s">
        <v>410</v>
      </c>
      <c r="AF75" s="892">
        <f>+'PM 02 y Pm04'!AF25</f>
        <v>1</v>
      </c>
      <c r="AG75" s="893">
        <f>+'PM 02 y Pm04'!AG25</f>
        <v>1</v>
      </c>
      <c r="AH75" s="1310"/>
      <c r="AI75" s="900">
        <f>+'PM 02 y Pm04'!AI25</f>
        <v>8</v>
      </c>
      <c r="AJ75" s="901">
        <f>+'PM 02 y Pm04'!AJ25</f>
        <v>5</v>
      </c>
      <c r="AK75" s="999"/>
      <c r="AL75" s="1059"/>
      <c r="AM75" s="1085"/>
      <c r="AN75" s="1000"/>
      <c r="AO75" s="1087"/>
      <c r="AP75" s="1085"/>
      <c r="AQ75" s="1000"/>
      <c r="AR75" s="1092"/>
      <c r="AS75" s="1093"/>
    </row>
    <row r="76" spans="1:45" s="903" customFormat="1" ht="60.75" thickBot="1" x14ac:dyDescent="0.25">
      <c r="A76" s="1534"/>
      <c r="B76" s="1536"/>
      <c r="C76" s="1536"/>
      <c r="D76" s="1538"/>
      <c r="E76" s="933" t="s">
        <v>586</v>
      </c>
      <c r="F76" s="928" t="s">
        <v>313</v>
      </c>
      <c r="G76" s="1069">
        <v>0</v>
      </c>
      <c r="H76" s="929">
        <v>0.5</v>
      </c>
      <c r="I76" s="929" t="s">
        <v>42</v>
      </c>
      <c r="J76" s="930" t="s">
        <v>40</v>
      </c>
      <c r="K76" s="1096">
        <v>1</v>
      </c>
      <c r="L76" s="928">
        <f t="shared" si="39"/>
        <v>0</v>
      </c>
      <c r="M76" s="934">
        <f t="shared" si="40"/>
        <v>0</v>
      </c>
      <c r="N76" s="933">
        <v>5</v>
      </c>
      <c r="O76" s="928">
        <f t="shared" si="48"/>
        <v>0</v>
      </c>
      <c r="P76" s="1338">
        <f t="shared" si="41"/>
        <v>0</v>
      </c>
      <c r="Q76" s="933">
        <v>6</v>
      </c>
      <c r="R76" s="928">
        <f t="shared" si="49"/>
        <v>0</v>
      </c>
      <c r="S76" s="934">
        <f t="shared" si="42"/>
        <v>0</v>
      </c>
      <c r="T76" s="933">
        <v>4</v>
      </c>
      <c r="U76" s="928">
        <f t="shared" si="50"/>
        <v>0</v>
      </c>
      <c r="V76" s="934">
        <f t="shared" si="43"/>
        <v>0</v>
      </c>
      <c r="W76" s="1008">
        <f t="shared" si="44"/>
        <v>16</v>
      </c>
      <c r="X76" s="928">
        <f t="shared" si="45"/>
        <v>0</v>
      </c>
      <c r="Y76" s="935">
        <f t="shared" si="46"/>
        <v>0</v>
      </c>
      <c r="Z76" s="936">
        <f t="shared" si="47"/>
        <v>0</v>
      </c>
      <c r="AA76" s="937" t="s">
        <v>373</v>
      </c>
      <c r="AB76" s="933" t="s">
        <v>374</v>
      </c>
      <c r="AC76" s="933" t="s">
        <v>375</v>
      </c>
      <c r="AD76" s="938" t="s">
        <v>43</v>
      </c>
      <c r="AE76" s="939" t="s">
        <v>411</v>
      </c>
      <c r="AF76" s="992">
        <f>+'PM 02 y Pm04'!AF26</f>
        <v>0</v>
      </c>
      <c r="AG76" s="928">
        <f>+'PM 02 y Pm04'!AG26</f>
        <v>1</v>
      </c>
      <c r="AH76" s="1328"/>
      <c r="AI76" s="942">
        <f>+'PM 02 y Pm04'!AI26</f>
        <v>0</v>
      </c>
      <c r="AJ76" s="943">
        <f>+'PM 02 y Pm04'!AJ26</f>
        <v>5</v>
      </c>
      <c r="AK76" s="1014"/>
      <c r="AL76" s="1072"/>
      <c r="AM76" s="1013"/>
      <c r="AN76" s="1015"/>
      <c r="AO76" s="1012"/>
      <c r="AP76" s="1013"/>
      <c r="AQ76" s="1015"/>
      <c r="AR76" s="1097"/>
      <c r="AS76" s="1098"/>
    </row>
    <row r="77" spans="1:45" s="903" customFormat="1" ht="45" x14ac:dyDescent="0.2">
      <c r="A77" s="1533" t="s">
        <v>594</v>
      </c>
      <c r="B77" s="1535">
        <v>20</v>
      </c>
      <c r="C77" s="1535" t="s">
        <v>229</v>
      </c>
      <c r="D77" s="1537">
        <v>0.03</v>
      </c>
      <c r="E77" s="888" t="s">
        <v>587</v>
      </c>
      <c r="F77" s="893" t="s">
        <v>284</v>
      </c>
      <c r="G77" s="893">
        <v>20</v>
      </c>
      <c r="H77" s="890">
        <v>0.5</v>
      </c>
      <c r="I77" s="890" t="s">
        <v>42</v>
      </c>
      <c r="J77" s="891" t="s">
        <v>40</v>
      </c>
      <c r="K77" s="995">
        <v>1</v>
      </c>
      <c r="L77" s="893">
        <f t="shared" si="39"/>
        <v>1</v>
      </c>
      <c r="M77" s="894">
        <f t="shared" si="40"/>
        <v>1</v>
      </c>
      <c r="N77" s="1182">
        <v>4</v>
      </c>
      <c r="O77" s="893">
        <f t="shared" si="48"/>
        <v>8</v>
      </c>
      <c r="P77" s="894">
        <f t="shared" si="41"/>
        <v>2</v>
      </c>
      <c r="Q77" s="1182">
        <v>5</v>
      </c>
      <c r="R77" s="893">
        <f t="shared" si="49"/>
        <v>0</v>
      </c>
      <c r="S77" s="894">
        <f t="shared" si="42"/>
        <v>0</v>
      </c>
      <c r="T77" s="1182">
        <v>10</v>
      </c>
      <c r="U77" s="893">
        <f t="shared" si="50"/>
        <v>0</v>
      </c>
      <c r="V77" s="894">
        <f t="shared" si="43"/>
        <v>0</v>
      </c>
      <c r="W77" s="1084">
        <f t="shared" si="44"/>
        <v>20</v>
      </c>
      <c r="X77" s="893">
        <f t="shared" si="45"/>
        <v>9</v>
      </c>
      <c r="Y77" s="947">
        <f t="shared" si="46"/>
        <v>0.45</v>
      </c>
      <c r="Z77" s="896">
        <f t="shared" si="47"/>
        <v>0.22500000000000001</v>
      </c>
      <c r="AA77" s="897" t="s">
        <v>348</v>
      </c>
      <c r="AB77" s="888" t="s">
        <v>346</v>
      </c>
      <c r="AC77" s="888" t="s">
        <v>347</v>
      </c>
      <c r="AD77" s="898" t="s">
        <v>43</v>
      </c>
      <c r="AE77" s="899" t="s">
        <v>412</v>
      </c>
      <c r="AF77" s="892">
        <f>+'PM 02 y Pm04'!AF27</f>
        <v>1</v>
      </c>
      <c r="AG77" s="893">
        <f>+'PM 02 y Pm04'!AG27</f>
        <v>1</v>
      </c>
      <c r="AH77" s="1310"/>
      <c r="AI77" s="900">
        <f>+'PM 02 y Pm04'!AI27</f>
        <v>8</v>
      </c>
      <c r="AJ77" s="901">
        <f>+'PM 02 y Pm04'!AJ27</f>
        <v>4</v>
      </c>
      <c r="AK77" s="999"/>
      <c r="AL77" s="1059"/>
      <c r="AM77" s="1085"/>
      <c r="AN77" s="1000"/>
      <c r="AO77" s="1087"/>
      <c r="AP77" s="1085"/>
      <c r="AQ77" s="1000"/>
      <c r="AR77" s="1092"/>
      <c r="AS77" s="1093"/>
    </row>
    <row r="78" spans="1:45" s="903" customFormat="1" ht="60.75" thickBot="1" x14ac:dyDescent="0.25">
      <c r="A78" s="1564"/>
      <c r="B78" s="1562"/>
      <c r="C78" s="1562"/>
      <c r="D78" s="1563"/>
      <c r="E78" s="1039" t="s">
        <v>587</v>
      </c>
      <c r="F78" s="941" t="s">
        <v>516</v>
      </c>
      <c r="G78" s="941">
        <v>431</v>
      </c>
      <c r="H78" s="1041">
        <v>0.5</v>
      </c>
      <c r="I78" s="1041" t="s">
        <v>42</v>
      </c>
      <c r="J78" s="1099" t="s">
        <v>40</v>
      </c>
      <c r="K78" s="1100">
        <v>67</v>
      </c>
      <c r="L78" s="941">
        <f t="shared" si="39"/>
        <v>60</v>
      </c>
      <c r="M78" s="1045">
        <f t="shared" si="40"/>
        <v>0.89552238805970152</v>
      </c>
      <c r="N78" s="1193">
        <v>67</v>
      </c>
      <c r="O78" s="941">
        <f t="shared" si="48"/>
        <v>36</v>
      </c>
      <c r="P78" s="1045">
        <f t="shared" si="41"/>
        <v>0.53731343283582089</v>
      </c>
      <c r="Q78" s="1193">
        <v>67</v>
      </c>
      <c r="R78" s="941">
        <f t="shared" si="49"/>
        <v>0</v>
      </c>
      <c r="S78" s="1045">
        <f t="shared" si="42"/>
        <v>0</v>
      </c>
      <c r="T78" s="1193">
        <v>68</v>
      </c>
      <c r="U78" s="941">
        <f t="shared" si="50"/>
        <v>0</v>
      </c>
      <c r="V78" s="1045">
        <f t="shared" si="43"/>
        <v>0</v>
      </c>
      <c r="W78" s="1101">
        <f t="shared" si="44"/>
        <v>269</v>
      </c>
      <c r="X78" s="941">
        <f t="shared" si="45"/>
        <v>96</v>
      </c>
      <c r="Y78" s="1102">
        <f t="shared" si="46"/>
        <v>0.35687732342007433</v>
      </c>
      <c r="Z78" s="1103">
        <f t="shared" si="47"/>
        <v>0.17843866171003717</v>
      </c>
      <c r="AA78" s="1104" t="s">
        <v>349</v>
      </c>
      <c r="AB78" s="1039" t="s">
        <v>510</v>
      </c>
      <c r="AC78" s="1039" t="s">
        <v>511</v>
      </c>
      <c r="AD78" s="1048" t="s">
        <v>43</v>
      </c>
      <c r="AE78" s="1105" t="s">
        <v>408</v>
      </c>
      <c r="AF78" s="940">
        <f>+'PM 02 y Pm04'!AF28</f>
        <v>60</v>
      </c>
      <c r="AG78" s="941">
        <f>+'PM 02 y Pm04'!AG28</f>
        <v>67</v>
      </c>
      <c r="AH78" s="1311"/>
      <c r="AI78" s="1315">
        <f>+'PM 02 y Pm04'!AI28</f>
        <v>36</v>
      </c>
      <c r="AJ78" s="1316">
        <f>+'PM 02 y Pm04'!AJ28</f>
        <v>67</v>
      </c>
      <c r="AK78" s="1108"/>
      <c r="AL78" s="1106"/>
      <c r="AM78" s="1107"/>
      <c r="AN78" s="1110"/>
      <c r="AO78" s="1109"/>
      <c r="AP78" s="1107"/>
      <c r="AQ78" s="1110"/>
      <c r="AR78" s="1111"/>
      <c r="AS78" s="1112"/>
    </row>
    <row r="79" spans="1:45" s="903" customFormat="1" ht="15" x14ac:dyDescent="0.2">
      <c r="D79" s="1113">
        <f>SUM(D11:D78)</f>
        <v>0.99980000000000002</v>
      </c>
    </row>
    <row r="80" spans="1:45" s="903" customFormat="1" ht="15" x14ac:dyDescent="0.2"/>
    <row r="81" s="903" customFormat="1" ht="15" x14ac:dyDescent="0.2"/>
    <row r="82" s="903" customFormat="1" ht="15" x14ac:dyDescent="0.2"/>
    <row r="83" s="903" customFormat="1" ht="15" x14ac:dyDescent="0.2"/>
    <row r="84" s="903" customFormat="1" ht="15" x14ac:dyDescent="0.2"/>
    <row r="85" s="903" customFormat="1" ht="15" x14ac:dyDescent="0.2"/>
  </sheetData>
  <mergeCells count="120">
    <mergeCell ref="A75:A76"/>
    <mergeCell ref="A77:A78"/>
    <mergeCell ref="G5:U5"/>
    <mergeCell ref="G6:Z6"/>
    <mergeCell ref="AR8:AR10"/>
    <mergeCell ref="AS8:AS10"/>
    <mergeCell ref="A40:A43"/>
    <mergeCell ref="A52:A55"/>
    <mergeCell ref="B75:B76"/>
    <mergeCell ref="C75:C76"/>
    <mergeCell ref="D75:D76"/>
    <mergeCell ref="B77:B78"/>
    <mergeCell ref="C77:C78"/>
    <mergeCell ref="D77:D78"/>
    <mergeCell ref="A59:A60"/>
    <mergeCell ref="D59:D60"/>
    <mergeCell ref="B61:B65"/>
    <mergeCell ref="C61:C65"/>
    <mergeCell ref="D61:D65"/>
    <mergeCell ref="B66:B74"/>
    <mergeCell ref="C66:C74"/>
    <mergeCell ref="C40:C42"/>
    <mergeCell ref="B40:B42"/>
    <mergeCell ref="D66:D74"/>
    <mergeCell ref="A66:A74"/>
    <mergeCell ref="AS40:AS43"/>
    <mergeCell ref="A44:A49"/>
    <mergeCell ref="B44:B49"/>
    <mergeCell ref="C44:C49"/>
    <mergeCell ref="D44:D49"/>
    <mergeCell ref="D40:D43"/>
    <mergeCell ref="A33:A39"/>
    <mergeCell ref="B33:B39"/>
    <mergeCell ref="C33:C39"/>
    <mergeCell ref="D33:D39"/>
    <mergeCell ref="AR33:AR39"/>
    <mergeCell ref="AS33:AS39"/>
    <mergeCell ref="B52:B55"/>
    <mergeCell ref="C52:C55"/>
    <mergeCell ref="D52:D55"/>
    <mergeCell ref="B56:B58"/>
    <mergeCell ref="C56:C58"/>
    <mergeCell ref="D56:D58"/>
    <mergeCell ref="A56:A58"/>
    <mergeCell ref="AR40:AR43"/>
    <mergeCell ref="A61:A65"/>
    <mergeCell ref="A25:A32"/>
    <mergeCell ref="B25:B28"/>
    <mergeCell ref="C25:C28"/>
    <mergeCell ref="D25:D28"/>
    <mergeCell ref="AR25:AR32"/>
    <mergeCell ref="AS25:AS32"/>
    <mergeCell ref="B29:B32"/>
    <mergeCell ref="C29:C32"/>
    <mergeCell ref="D29:D32"/>
    <mergeCell ref="A23:A24"/>
    <mergeCell ref="B23:B24"/>
    <mergeCell ref="C23:C24"/>
    <mergeCell ref="D23:D24"/>
    <mergeCell ref="AR23:AR24"/>
    <mergeCell ref="AS23:AS24"/>
    <mergeCell ref="AR11:AR15"/>
    <mergeCell ref="AS11:AS15"/>
    <mergeCell ref="A16:A21"/>
    <mergeCell ref="B16:B21"/>
    <mergeCell ref="C16:C21"/>
    <mergeCell ref="D16:D21"/>
    <mergeCell ref="AR16:AR21"/>
    <mergeCell ref="AS16:AS21"/>
    <mergeCell ref="A11:A15"/>
    <mergeCell ref="B11:B15"/>
    <mergeCell ref="C11:C15"/>
    <mergeCell ref="D11:D15"/>
    <mergeCell ref="AA9:AA10"/>
    <mergeCell ref="AB9:AC9"/>
    <mergeCell ref="AD9:AD10"/>
    <mergeCell ref="AF9:AG9"/>
    <mergeCell ref="G8:G10"/>
    <mergeCell ref="H8:H10"/>
    <mergeCell ref="I8:I10"/>
    <mergeCell ref="J8:J10"/>
    <mergeCell ref="K8:Y8"/>
    <mergeCell ref="Z8:Z10"/>
    <mergeCell ref="K9:M9"/>
    <mergeCell ref="N9:P9"/>
    <mergeCell ref="Q9:S9"/>
    <mergeCell ref="T9:V9"/>
    <mergeCell ref="AA8:AD8"/>
    <mergeCell ref="AE8:AE10"/>
    <mergeCell ref="AF8:AH8"/>
    <mergeCell ref="AH9:AH10"/>
    <mergeCell ref="AI8:AK8"/>
    <mergeCell ref="AL8:AN8"/>
    <mergeCell ref="AO8:AQ8"/>
    <mergeCell ref="AI9:AJ9"/>
    <mergeCell ref="AK9:AK10"/>
    <mergeCell ref="AL9:AM9"/>
    <mergeCell ref="AN9:AN10"/>
    <mergeCell ref="AO9:AP9"/>
    <mergeCell ref="AQ9:AQ10"/>
    <mergeCell ref="A7:F7"/>
    <mergeCell ref="G7:U7"/>
    <mergeCell ref="V7:Y7"/>
    <mergeCell ref="A8:A10"/>
    <mergeCell ref="B8:B10"/>
    <mergeCell ref="C8:C10"/>
    <mergeCell ref="D8:D10"/>
    <mergeCell ref="E8:E10"/>
    <mergeCell ref="F8:F10"/>
    <mergeCell ref="W9:Y9"/>
    <mergeCell ref="A5:F5"/>
    <mergeCell ref="V5:W5"/>
    <mergeCell ref="X5:Z5"/>
    <mergeCell ref="A6:F6"/>
    <mergeCell ref="A1:F3"/>
    <mergeCell ref="G1:AE1"/>
    <mergeCell ref="G2:AE2"/>
    <mergeCell ref="G3:AE3"/>
    <mergeCell ref="A4:F4"/>
    <mergeCell ref="G4:AE4"/>
  </mergeCells>
  <conditionalFormatting sqref="V11 S11 P11:P12 P22 S22 V22 Y11 S15 V15 Y15:Y22 M11:M24 M44:M60 Y44:Y60 P44:P60 S44:S60 V44:V60">
    <cfRule type="cellIs" dxfId="371" priority="124" stopIfTrue="1" operator="equal">
      <formula>0</formula>
    </cfRule>
    <cfRule type="cellIs" dxfId="370" priority="125" stopIfTrue="1" operator="greaterThan">
      <formula>1</formula>
    </cfRule>
    <cfRule type="cellIs" dxfId="369" priority="126" stopIfTrue="1" operator="between">
      <formula>0.9</formula>
      <formula>1</formula>
    </cfRule>
    <cfRule type="cellIs" dxfId="368" priority="127" stopIfTrue="1" operator="between">
      <formula>0.7</formula>
      <formula>0.8999</formula>
    </cfRule>
    <cfRule type="cellIs" dxfId="367" priority="128" stopIfTrue="1" operator="between">
      <formula>0.00001</formula>
      <formula>0.6999</formula>
    </cfRule>
  </conditionalFormatting>
  <conditionalFormatting sqref="S13:S14">
    <cfRule type="cellIs" dxfId="366" priority="89" stopIfTrue="1" operator="equal">
      <formula>0</formula>
    </cfRule>
    <cfRule type="cellIs" dxfId="365" priority="90" stopIfTrue="1" operator="greaterThan">
      <formula>1</formula>
    </cfRule>
    <cfRule type="cellIs" dxfId="364" priority="91" stopIfTrue="1" operator="between">
      <formula>0.9</formula>
      <formula>1</formula>
    </cfRule>
    <cfRule type="cellIs" dxfId="363" priority="92" stopIfTrue="1" operator="between">
      <formula>0.7</formula>
      <formula>0.8999</formula>
    </cfRule>
    <cfRule type="cellIs" dxfId="362" priority="93" stopIfTrue="1" operator="between">
      <formula>0.00001</formula>
      <formula>0.6999</formula>
    </cfRule>
  </conditionalFormatting>
  <conditionalFormatting sqref="Y14">
    <cfRule type="cellIs" dxfId="361" priority="119" stopIfTrue="1" operator="equal">
      <formula>0</formula>
    </cfRule>
    <cfRule type="cellIs" dxfId="360" priority="120" stopIfTrue="1" operator="greaterThan">
      <formula>1</formula>
    </cfRule>
    <cfRule type="cellIs" dxfId="359" priority="121" stopIfTrue="1" operator="between">
      <formula>0.9</formula>
      <formula>1</formula>
    </cfRule>
    <cfRule type="cellIs" dxfId="358" priority="122" stopIfTrue="1" operator="between">
      <formula>0.7</formula>
      <formula>0.8999</formula>
    </cfRule>
    <cfRule type="cellIs" dxfId="357" priority="123" stopIfTrue="1" operator="between">
      <formula>0.00001</formula>
      <formula>0.6999</formula>
    </cfRule>
  </conditionalFormatting>
  <conditionalFormatting sqref="S12">
    <cfRule type="cellIs" dxfId="356" priority="114" stopIfTrue="1" operator="equal">
      <formula>0</formula>
    </cfRule>
    <cfRule type="cellIs" dxfId="355" priority="115" stopIfTrue="1" operator="greaterThan">
      <formula>1</formula>
    </cfRule>
    <cfRule type="cellIs" dxfId="354" priority="116" stopIfTrue="1" operator="between">
      <formula>0.9</formula>
      <formula>1</formula>
    </cfRule>
    <cfRule type="cellIs" dxfId="353" priority="117" stopIfTrue="1" operator="between">
      <formula>0.7</formula>
      <formula>0.8999</formula>
    </cfRule>
    <cfRule type="cellIs" dxfId="352" priority="118" stopIfTrue="1" operator="between">
      <formula>0.00001</formula>
      <formula>0.6999</formula>
    </cfRule>
  </conditionalFormatting>
  <conditionalFormatting sqref="V12">
    <cfRule type="cellIs" dxfId="351" priority="109" stopIfTrue="1" operator="equal">
      <formula>0</formula>
    </cfRule>
    <cfRule type="cellIs" dxfId="350" priority="110" stopIfTrue="1" operator="greaterThan">
      <formula>1</formula>
    </cfRule>
    <cfRule type="cellIs" dxfId="349" priority="111" stopIfTrue="1" operator="between">
      <formula>0.9</formula>
      <formula>1</formula>
    </cfRule>
    <cfRule type="cellIs" dxfId="348" priority="112" stopIfTrue="1" operator="between">
      <formula>0.7</formula>
      <formula>0.8999</formula>
    </cfRule>
    <cfRule type="cellIs" dxfId="347" priority="113" stopIfTrue="1" operator="between">
      <formula>0.00001</formula>
      <formula>0.6999</formula>
    </cfRule>
  </conditionalFormatting>
  <conditionalFormatting sqref="Y12">
    <cfRule type="cellIs" dxfId="346" priority="104" stopIfTrue="1" operator="equal">
      <formula>0</formula>
    </cfRule>
    <cfRule type="cellIs" dxfId="345" priority="105" stopIfTrue="1" operator="greaterThan">
      <formula>1</formula>
    </cfRule>
    <cfRule type="cellIs" dxfId="344" priority="106" stopIfTrue="1" operator="between">
      <formula>0.9</formula>
      <formula>1</formula>
    </cfRule>
    <cfRule type="cellIs" dxfId="343" priority="107" stopIfTrue="1" operator="between">
      <formula>0.7</formula>
      <formula>0.8999</formula>
    </cfRule>
    <cfRule type="cellIs" dxfId="342" priority="108" stopIfTrue="1" operator="between">
      <formula>0.00001</formula>
      <formula>0.6999</formula>
    </cfRule>
  </conditionalFormatting>
  <conditionalFormatting sqref="Y13">
    <cfRule type="cellIs" dxfId="341" priority="99" stopIfTrue="1" operator="equal">
      <formula>0</formula>
    </cfRule>
    <cfRule type="cellIs" dxfId="340" priority="100" stopIfTrue="1" operator="greaterThan">
      <formula>1</formula>
    </cfRule>
    <cfRule type="cellIs" dxfId="339" priority="101" stopIfTrue="1" operator="between">
      <formula>0.9</formula>
      <formula>1</formula>
    </cfRule>
    <cfRule type="cellIs" dxfId="338" priority="102" stopIfTrue="1" operator="between">
      <formula>0.7</formula>
      <formula>0.8999</formula>
    </cfRule>
    <cfRule type="cellIs" dxfId="337" priority="103" stopIfTrue="1" operator="between">
      <formula>0.00001</formula>
      <formula>0.6999</formula>
    </cfRule>
  </conditionalFormatting>
  <conditionalFormatting sqref="P13:P15">
    <cfRule type="cellIs" dxfId="336" priority="94" stopIfTrue="1" operator="equal">
      <formula>0</formula>
    </cfRule>
    <cfRule type="cellIs" dxfId="335" priority="95" stopIfTrue="1" operator="greaterThan">
      <formula>1</formula>
    </cfRule>
    <cfRule type="cellIs" dxfId="334" priority="96" stopIfTrue="1" operator="between">
      <formula>0.9</formula>
      <formula>1</formula>
    </cfRule>
    <cfRule type="cellIs" dxfId="333" priority="97" stopIfTrue="1" operator="between">
      <formula>0.7</formula>
      <formula>0.8999</formula>
    </cfRule>
    <cfRule type="cellIs" dxfId="332" priority="98" stopIfTrue="1" operator="between">
      <formula>0.00001</formula>
      <formula>0.6999</formula>
    </cfRule>
  </conditionalFormatting>
  <conditionalFormatting sqref="V13:V14">
    <cfRule type="cellIs" dxfId="331" priority="84" stopIfTrue="1" operator="equal">
      <formula>0</formula>
    </cfRule>
    <cfRule type="cellIs" dxfId="330" priority="85" stopIfTrue="1" operator="greaterThan">
      <formula>1</formula>
    </cfRule>
    <cfRule type="cellIs" dxfId="329" priority="86" stopIfTrue="1" operator="between">
      <formula>0.9</formula>
      <formula>1</formula>
    </cfRule>
    <cfRule type="cellIs" dxfId="328" priority="87" stopIfTrue="1" operator="between">
      <formula>0.7</formula>
      <formula>0.8999</formula>
    </cfRule>
    <cfRule type="cellIs" dxfId="327" priority="88" stopIfTrue="1" operator="between">
      <formula>0.00001</formula>
      <formula>0.6999</formula>
    </cfRule>
  </conditionalFormatting>
  <conditionalFormatting sqref="P16:P21">
    <cfRule type="cellIs" dxfId="326" priority="79" stopIfTrue="1" operator="equal">
      <formula>0</formula>
    </cfRule>
    <cfRule type="cellIs" dxfId="325" priority="80" stopIfTrue="1" operator="greaterThan">
      <formula>1</formula>
    </cfRule>
    <cfRule type="cellIs" dxfId="324" priority="81" stopIfTrue="1" operator="between">
      <formula>0.9</formula>
      <formula>1</formula>
    </cfRule>
    <cfRule type="cellIs" dxfId="323" priority="82" stopIfTrue="1" operator="between">
      <formula>0.7</formula>
      <formula>0.8999</formula>
    </cfRule>
    <cfRule type="cellIs" dxfId="322" priority="83" stopIfTrue="1" operator="between">
      <formula>0.00001</formula>
      <formula>0.6999</formula>
    </cfRule>
  </conditionalFormatting>
  <conditionalFormatting sqref="P23:P24">
    <cfRule type="cellIs" dxfId="321" priority="74" stopIfTrue="1" operator="equal">
      <formula>0</formula>
    </cfRule>
    <cfRule type="cellIs" dxfId="320" priority="75" stopIfTrue="1" operator="greaterThan">
      <formula>1</formula>
    </cfRule>
    <cfRule type="cellIs" dxfId="319" priority="76" stopIfTrue="1" operator="between">
      <formula>0.9</formula>
      <formula>1</formula>
    </cfRule>
    <cfRule type="cellIs" dxfId="318" priority="77" stopIfTrue="1" operator="between">
      <formula>0.7</formula>
      <formula>0.8999</formula>
    </cfRule>
    <cfRule type="cellIs" dxfId="317" priority="78" stopIfTrue="1" operator="between">
      <formula>0.00001</formula>
      <formula>0.6999</formula>
    </cfRule>
  </conditionalFormatting>
  <conditionalFormatting sqref="S16:S21">
    <cfRule type="cellIs" dxfId="316" priority="69" stopIfTrue="1" operator="equal">
      <formula>0</formula>
    </cfRule>
    <cfRule type="cellIs" dxfId="315" priority="70" stopIfTrue="1" operator="greaterThan">
      <formula>1</formula>
    </cfRule>
    <cfRule type="cellIs" dxfId="314" priority="71" stopIfTrue="1" operator="between">
      <formula>0.9</formula>
      <formula>1</formula>
    </cfRule>
    <cfRule type="cellIs" dxfId="313" priority="72" stopIfTrue="1" operator="between">
      <formula>0.7</formula>
      <formula>0.8999</formula>
    </cfRule>
    <cfRule type="cellIs" dxfId="312" priority="73" stopIfTrue="1" operator="between">
      <formula>0.00001</formula>
      <formula>0.6999</formula>
    </cfRule>
  </conditionalFormatting>
  <conditionalFormatting sqref="S23:S24">
    <cfRule type="cellIs" dxfId="311" priority="64" stopIfTrue="1" operator="equal">
      <formula>0</formula>
    </cfRule>
    <cfRule type="cellIs" dxfId="310" priority="65" stopIfTrue="1" operator="greaterThan">
      <formula>1</formula>
    </cfRule>
    <cfRule type="cellIs" dxfId="309" priority="66" stopIfTrue="1" operator="between">
      <formula>0.9</formula>
      <formula>1</formula>
    </cfRule>
    <cfRule type="cellIs" dxfId="308" priority="67" stopIfTrue="1" operator="between">
      <formula>0.7</formula>
      <formula>0.8999</formula>
    </cfRule>
    <cfRule type="cellIs" dxfId="307" priority="68" stopIfTrue="1" operator="between">
      <formula>0.00001</formula>
      <formula>0.6999</formula>
    </cfRule>
  </conditionalFormatting>
  <conditionalFormatting sqref="V16:V21">
    <cfRule type="cellIs" dxfId="306" priority="59" stopIfTrue="1" operator="equal">
      <formula>0</formula>
    </cfRule>
    <cfRule type="cellIs" dxfId="305" priority="60" stopIfTrue="1" operator="greaterThan">
      <formula>1</formula>
    </cfRule>
    <cfRule type="cellIs" dxfId="304" priority="61" stopIfTrue="1" operator="between">
      <formula>0.9</formula>
      <formula>1</formula>
    </cfRule>
    <cfRule type="cellIs" dxfId="303" priority="62" stopIfTrue="1" operator="between">
      <formula>0.7</formula>
      <formula>0.8999</formula>
    </cfRule>
    <cfRule type="cellIs" dxfId="302" priority="63" stopIfTrue="1" operator="between">
      <formula>0.00001</formula>
      <formula>0.6999</formula>
    </cfRule>
  </conditionalFormatting>
  <conditionalFormatting sqref="V23:V24">
    <cfRule type="cellIs" dxfId="301" priority="54" stopIfTrue="1" operator="equal">
      <formula>0</formula>
    </cfRule>
    <cfRule type="cellIs" dxfId="300" priority="55" stopIfTrue="1" operator="greaterThan">
      <formula>1</formula>
    </cfRule>
    <cfRule type="cellIs" dxfId="299" priority="56" stopIfTrue="1" operator="between">
      <formula>0.9</formula>
      <formula>1</formula>
    </cfRule>
    <cfRule type="cellIs" dxfId="298" priority="57" stopIfTrue="1" operator="between">
      <formula>0.7</formula>
      <formula>0.8999</formula>
    </cfRule>
    <cfRule type="cellIs" dxfId="297" priority="58" stopIfTrue="1" operator="between">
      <formula>0.00001</formula>
      <formula>0.6999</formula>
    </cfRule>
  </conditionalFormatting>
  <conditionalFormatting sqref="Y23:Y24">
    <cfRule type="cellIs" dxfId="296" priority="49" stopIfTrue="1" operator="equal">
      <formula>0</formula>
    </cfRule>
    <cfRule type="cellIs" dxfId="295" priority="50" stopIfTrue="1" operator="greaterThan">
      <formula>1</formula>
    </cfRule>
    <cfRule type="cellIs" dxfId="294" priority="51" stopIfTrue="1" operator="between">
      <formula>0.9</formula>
      <formula>1</formula>
    </cfRule>
    <cfRule type="cellIs" dxfId="293" priority="52" stopIfTrue="1" operator="between">
      <formula>0.7</formula>
      <formula>0.8999</formula>
    </cfRule>
    <cfRule type="cellIs" dxfId="292" priority="53" stopIfTrue="1" operator="between">
      <formula>0.00001</formula>
      <formula>0.6999</formula>
    </cfRule>
  </conditionalFormatting>
  <conditionalFormatting sqref="M13">
    <cfRule type="cellIs" dxfId="291" priority="47" stopIfTrue="1" operator="lessThanOrEqual">
      <formula>0.03</formula>
    </cfRule>
  </conditionalFormatting>
  <conditionalFormatting sqref="M25:M27 V29:V32 S29:S32 P29:P32 M29:M32 Y29:Y32 Y25:Y27 P25:P27 S25:S27 V25:V27">
    <cfRule type="cellIs" dxfId="290" priority="42" stopIfTrue="1" operator="equal">
      <formula>0</formula>
    </cfRule>
    <cfRule type="cellIs" dxfId="289" priority="43" stopIfTrue="1" operator="greaterThan">
      <formula>1</formula>
    </cfRule>
    <cfRule type="cellIs" dxfId="288" priority="44" stopIfTrue="1" operator="between">
      <formula>0.9</formula>
      <formula>1</formula>
    </cfRule>
    <cfRule type="cellIs" dxfId="287" priority="45" stopIfTrue="1" operator="between">
      <formula>0.7</formula>
      <formula>0.8999</formula>
    </cfRule>
    <cfRule type="cellIs" dxfId="286" priority="46" stopIfTrue="1" operator="between">
      <formula>0.00001</formula>
      <formula>0.6999</formula>
    </cfRule>
  </conditionalFormatting>
  <conditionalFormatting sqref="V28 S28 P28 M28 Y28">
    <cfRule type="cellIs" dxfId="285" priority="37" stopIfTrue="1" operator="equal">
      <formula>0</formula>
    </cfRule>
    <cfRule type="cellIs" dxfId="284" priority="38" stopIfTrue="1" operator="greaterThan">
      <formula>1</formula>
    </cfRule>
    <cfRule type="cellIs" dxfId="283" priority="39" stopIfTrue="1" operator="between">
      <formula>0.9</formula>
      <formula>1</formula>
    </cfRule>
    <cfRule type="cellIs" dxfId="282" priority="40" stopIfTrue="1" operator="between">
      <formula>0.7</formula>
      <formula>0.8999</formula>
    </cfRule>
    <cfRule type="cellIs" dxfId="281" priority="41" stopIfTrue="1" operator="between">
      <formula>0.00001</formula>
      <formula>0.6999</formula>
    </cfRule>
  </conditionalFormatting>
  <conditionalFormatting sqref="V33:V39 Y33:Y39 S33:S39 M33:M39 P33:P39">
    <cfRule type="cellIs" dxfId="280" priority="32" stopIfTrue="1" operator="equal">
      <formula>0</formula>
    </cfRule>
    <cfRule type="cellIs" dxfId="279" priority="33" stopIfTrue="1" operator="greaterThan">
      <formula>1</formula>
    </cfRule>
    <cfRule type="cellIs" dxfId="278" priority="34" stopIfTrue="1" operator="between">
      <formula>0.9</formula>
      <formula>1</formula>
    </cfRule>
    <cfRule type="cellIs" dxfId="277" priority="35" stopIfTrue="1" operator="between">
      <formula>0.7</formula>
      <formula>0.8999</formula>
    </cfRule>
    <cfRule type="cellIs" dxfId="276" priority="36" stopIfTrue="1" operator="between">
      <formula>0.00001</formula>
      <formula>0.6999</formula>
    </cfRule>
  </conditionalFormatting>
  <conditionalFormatting sqref="M40:M42 Y40:Y42 P40:P42 S40:S42 V40:V42">
    <cfRule type="cellIs" dxfId="275" priority="27" stopIfTrue="1" operator="equal">
      <formula>0</formula>
    </cfRule>
    <cfRule type="cellIs" dxfId="274" priority="28" stopIfTrue="1" operator="greaterThan">
      <formula>1</formula>
    </cfRule>
    <cfRule type="cellIs" dxfId="273" priority="29" stopIfTrue="1" operator="between">
      <formula>0.9</formula>
      <formula>1</formula>
    </cfRule>
    <cfRule type="cellIs" dxfId="272" priority="30" stopIfTrue="1" operator="between">
      <formula>0.7</formula>
      <formula>0.8999</formula>
    </cfRule>
    <cfRule type="cellIs" dxfId="271" priority="31" stopIfTrue="1" operator="between">
      <formula>0.00001</formula>
      <formula>0.6999</formula>
    </cfRule>
  </conditionalFormatting>
  <conditionalFormatting sqref="V43 Y43 S43 P43">
    <cfRule type="cellIs" dxfId="270" priority="17" stopIfTrue="1" operator="equal">
      <formula>0</formula>
    </cfRule>
    <cfRule type="cellIs" dxfId="269" priority="18" stopIfTrue="1" operator="greaterThan">
      <formula>1</formula>
    </cfRule>
    <cfRule type="cellIs" dxfId="268" priority="19" stopIfTrue="1" operator="between">
      <formula>0.9</formula>
      <formula>1</formula>
    </cfRule>
    <cfRule type="cellIs" dxfId="267" priority="20" stopIfTrue="1" operator="between">
      <formula>0.7</formula>
      <formula>0.8999</formula>
    </cfRule>
    <cfRule type="cellIs" dxfId="266" priority="21" stopIfTrue="1" operator="between">
      <formula>0.00001</formula>
      <formula>0.6999</formula>
    </cfRule>
  </conditionalFormatting>
  <conditionalFormatting sqref="M43">
    <cfRule type="cellIs" dxfId="265" priority="22" stopIfTrue="1" operator="equal">
      <formula>0</formula>
    </cfRule>
    <cfRule type="cellIs" dxfId="264" priority="23" stopIfTrue="1" operator="greaterThan">
      <formula>1</formula>
    </cfRule>
    <cfRule type="cellIs" dxfId="263" priority="24" stopIfTrue="1" operator="between">
      <formula>0.9</formula>
      <formula>1</formula>
    </cfRule>
    <cfRule type="cellIs" dxfId="262" priority="25" stopIfTrue="1" operator="between">
      <formula>0.7</formula>
      <formula>0.8999</formula>
    </cfRule>
    <cfRule type="cellIs" dxfId="261" priority="26" stopIfTrue="1" operator="between">
      <formula>0.00001</formula>
      <formula>0.6999</formula>
    </cfRule>
  </conditionalFormatting>
  <conditionalFormatting sqref="P61:P65 M61:M65 S61:S65 Y61:Y65 V61:V65 V75:V78 Y75:Y78 S75:S78 M75:M78 P75:P78">
    <cfRule type="cellIs" dxfId="260" priority="6" stopIfTrue="1" operator="equal">
      <formula>0</formula>
    </cfRule>
    <cfRule type="cellIs" dxfId="259" priority="7" stopIfTrue="1" operator="greaterThan">
      <formula>1</formula>
    </cfRule>
    <cfRule type="cellIs" dxfId="258" priority="8" stopIfTrue="1" operator="between">
      <formula>0.9</formula>
      <formula>1</formula>
    </cfRule>
    <cfRule type="cellIs" dxfId="257" priority="9" stopIfTrue="1" operator="between">
      <formula>0.7</formula>
      <formula>0.8999</formula>
    </cfRule>
    <cfRule type="cellIs" dxfId="256" priority="10" stopIfTrue="1" operator="between">
      <formula>0.00001</formula>
      <formula>0.6999</formula>
    </cfRule>
  </conditionalFormatting>
  <conditionalFormatting sqref="M66:M74 P66:P74 S66:S74 V66:V74 Y66:Y74">
    <cfRule type="cellIs" dxfId="255" priority="1" stopIfTrue="1" operator="equal">
      <formula>0</formula>
    </cfRule>
    <cfRule type="cellIs" dxfId="254" priority="2" stopIfTrue="1" operator="greaterThan">
      <formula>1</formula>
    </cfRule>
    <cfRule type="cellIs" dxfId="253" priority="3" stopIfTrue="1" operator="between">
      <formula>0.9</formula>
      <formula>1</formula>
    </cfRule>
    <cfRule type="cellIs" dxfId="252" priority="4" stopIfTrue="1" operator="between">
      <formula>0.7</formula>
      <formula>0.8999</formula>
    </cfRule>
    <cfRule type="cellIs" dxfId="251" priority="5" stopIfTrue="1" operator="between">
      <formula>0.00001</formula>
      <formula>0.6999</formula>
    </cfRule>
  </conditionalFormatting>
  <conditionalFormatting sqref="P45:P60">
    <cfRule type="colorScale" priority="180">
      <colorScale>
        <cfvo type="min"/>
        <cfvo type="percent" val="100"/>
        <color rgb="FFFF7128"/>
        <color theme="0"/>
      </colorScale>
    </cfRule>
  </conditionalFormatting>
  <dataValidations disablePrompts="1" count="39">
    <dataValidation showInputMessage="1" showErrorMessage="1" sqref="V5"/>
    <dataValidation allowBlank="1" showInputMessage="1" showErrorMessage="1" sqref="X5:Z5"/>
    <dataValidation type="list" allowBlank="1" showInputMessage="1" showErrorMessage="1" error="Debe seleccionar uno de los campos del menu desplegable" prompt="Elija una opción del menu desplegable" sqref="J11:J24">
      <formula1>$G$136:$G$137</formula1>
    </dataValidation>
    <dataValidation type="list" errorStyle="information" showInputMessage="1" showErrorMessage="1" error="Elija una Categoría" prompt="Elija una opción del menú desplegable" sqref="AD11:AD24">
      <formula1>$G$126:$G$128</formula1>
    </dataValidation>
    <dataValidation type="list" allowBlank="1" showInputMessage="1" showErrorMessage="1" prompt="Elija una opción del menu desplegable" sqref="I22:I24">
      <formula1>$D$114:$D$115</formula1>
    </dataValidation>
    <dataValidation type="list" allowBlank="1" showInputMessage="1" showErrorMessage="1" prompt="Elija una opción del menu desplegable" sqref="I11:I21">
      <formula1>$G$131:$G$132</formula1>
    </dataValidation>
    <dataValidation type="list" allowBlank="1" showInputMessage="1" showErrorMessage="1" sqref="A11:A15 A22:A23">
      <formula1>$G$140:$G$146</formula1>
    </dataValidation>
    <dataValidation type="list" allowBlank="1" showInputMessage="1" showErrorMessage="1" sqref="A25">
      <formula1>$C$124:$C$130</formula1>
    </dataValidation>
    <dataValidation type="list" errorStyle="information" showInputMessage="1" showErrorMessage="1" error="Elija una Categoría" prompt="Elija una opción del menú desplegable" sqref="AD25:AD32">
      <formula1>$C$110:$C$112</formula1>
    </dataValidation>
    <dataValidation type="list" allowBlank="1" showInputMessage="1" showErrorMessage="1" prompt="Seleccione el Objetivo Estratégico" sqref="A33:A39">
      <formula1>$F$123:$F$129</formula1>
    </dataValidation>
    <dataValidation type="list" allowBlank="1" showInputMessage="1" showErrorMessage="1" prompt="Elija una opción del menu desplegable" sqref="I33:I39">
      <formula1>#REF!</formula1>
    </dataValidation>
    <dataValidation type="list" errorStyle="information" showInputMessage="1" showErrorMessage="1" error="Elija una Categoría" prompt="Elija una opción del menú desplegable" sqref="AD33:AD39">
      <formula1>$F$109:$F$111</formula1>
    </dataValidation>
    <dataValidation type="list" allowBlank="1" showInputMessage="1" showErrorMessage="1" error="Debe seleccionar uno de los campos del menu desplegable" prompt="Elija una opción del menu desplegable" sqref="J33:J39">
      <formula1>$F$119:$F$120</formula1>
    </dataValidation>
    <dataValidation type="list" allowBlank="1" showInputMessage="1" showErrorMessage="1" prompt="Elija una opción del menu desplegable" sqref="I43">
      <formula1>$D$115:$D$116</formula1>
    </dataValidation>
    <dataValidation type="list" errorStyle="information" showInputMessage="1" showErrorMessage="1" error="Elija una Categoría" prompt="Elija una opción del menú desplegable" sqref="AD43">
      <formula1>$G$127:$G$129</formula1>
    </dataValidation>
    <dataValidation type="list" allowBlank="1" showInputMessage="1" showErrorMessage="1" error="Debe seleccionar uno de los campos del menu desplegable" prompt="Elija una opción del menu desplegable" sqref="J43">
      <formula1>$G$137:$G$138</formula1>
    </dataValidation>
    <dataValidation type="list" errorStyle="information" showInputMessage="1" showErrorMessage="1" error="Elija una Categoría" prompt="Elija una opción del menú desplegable" sqref="AD40:AD42">
      <formula1>$C$103:$C$105</formula1>
    </dataValidation>
    <dataValidation type="list" allowBlank="1" showInputMessage="1" showErrorMessage="1" error="Debe seleccionar uno de los campos del menu desplegable" prompt="Elija una opción del menu desplegable" sqref="J40:J42">
      <formula1>$C$113:$C$114</formula1>
    </dataValidation>
    <dataValidation type="list" allowBlank="1" showInputMessage="1" showErrorMessage="1" prompt="Elija una opción del menu desplegable" sqref="I40:I42">
      <formula1>$C$108:$C$109</formula1>
    </dataValidation>
    <dataValidation type="list" allowBlank="1" showInputMessage="1" showErrorMessage="1" prompt="Seleccione el Objetivo Estratégico" sqref="A40:A42">
      <formula1>$C$117:$C$123</formula1>
    </dataValidation>
    <dataValidation type="list" allowBlank="1" showInputMessage="1" showErrorMessage="1" sqref="A59:A60">
      <formula1>$F$138:$F$144</formula1>
    </dataValidation>
    <dataValidation type="list" allowBlank="1" showInputMessage="1" showErrorMessage="1" prompt="Elija una opción del menu desplegable" sqref="I59:I60">
      <formula1>$C$115:$C$116</formula1>
    </dataValidation>
    <dataValidation type="list" allowBlank="1" showInputMessage="1" showErrorMessage="1" prompt="Seleccione el Objetivo Estratégico" sqref="A44 A50:A52">
      <formula1>$F$137:$F$147</formula1>
    </dataValidation>
    <dataValidation type="list" allowBlank="1" showInputMessage="1" showErrorMessage="1" prompt="Seleccione el Objetivo Estratégico" sqref="A61 A77 A75 A66">
      <formula1>$F$132:$F$138</formula1>
    </dataValidation>
    <dataValidation type="list" errorStyle="information" showInputMessage="1" showErrorMessage="1" error="Elija una Categoría" prompt="Elija una opción del menú desplegable" sqref="AD61:AD78">
      <formula1>$F$118:$F$120</formula1>
    </dataValidation>
    <dataValidation type="list" allowBlank="1" showInputMessage="1" showErrorMessage="1" error="Debe seleccionar uno de los campos del menu desplegable" prompt="Elija una opción del menu desplegable" sqref="J61:J65 J75:J78">
      <formula1>$F$128:$F$129</formula1>
    </dataValidation>
    <dataValidation type="list" allowBlank="1" showInputMessage="1" showErrorMessage="1" prompt="Elija una opción del menu desplegable" sqref="I61:I65 I75:I76">
      <formula1>$F$123:$F$124</formula1>
    </dataValidation>
    <dataValidation type="list" allowBlank="1" showInputMessage="1" showErrorMessage="1" prompt="Elija una opción del menu desplegable" sqref="I77:I78">
      <formula1>$F$113:$F$114</formula1>
    </dataValidation>
    <dataValidation type="list" allowBlank="1" showInputMessage="1" showErrorMessage="1" error="Debe seleccionar uno de los campos del menu desplegable" prompt="Elija una opción del menu desplegable" sqref="J66:J70 J72:J74">
      <formula1>$F$126:$F$127</formula1>
    </dataValidation>
    <dataValidation type="list" allowBlank="1" showInputMessage="1" showErrorMessage="1" prompt="Elija una opción del menu desplegable" sqref="I66:I70 I72:I74">
      <formula1>$F$121:$F$122</formula1>
    </dataValidation>
    <dataValidation type="list" errorStyle="information" showInputMessage="1" showErrorMessage="1" error="Elija una Categoría" prompt="Elija una opción del menú desplegable" sqref="AD59:AD60 AD44:AD55">
      <formula1>$F$124:$F$126</formula1>
    </dataValidation>
    <dataValidation type="list" allowBlank="1" showInputMessage="1" showErrorMessage="1" error="Debe seleccionar uno de los campos del menu desplegable" prompt="Elija una opción del menu desplegable" sqref="J57:J60 J44:J55">
      <formula1>$F$134:$F$135</formula1>
    </dataValidation>
    <dataValidation type="list" allowBlank="1" showInputMessage="1" showErrorMessage="1" prompt="Elija una opción del menu desplegable" sqref="I57:I58 I44:I55">
      <formula1>$F$129:$F$130</formula1>
    </dataValidation>
    <dataValidation type="list" allowBlank="1" showInputMessage="1" showErrorMessage="1" error="Debe seleccionar uno de los campos del menu desplegable" prompt="Elija una opción del menu desplegable" sqref="J56">
      <formula1>$F$130:$F$131</formula1>
    </dataValidation>
    <dataValidation type="list" allowBlank="1" showInputMessage="1" showErrorMessage="1" prompt="Elija una opción del menu desplegable" sqref="I56">
      <formula1>$F$125:$F$126</formula1>
    </dataValidation>
    <dataValidation type="list" errorStyle="information" showInputMessage="1" showErrorMessage="1" error="Elija una Categoría" prompt="Elija una opción del menú desplegable" sqref="AD56:AD58">
      <formula1>$F$120:$F$122</formula1>
    </dataValidation>
    <dataValidation type="list" allowBlank="1" showInputMessage="1" showErrorMessage="1" error="Debe seleccionar uno de los campos del menu desplegable" prompt="Elija una opción del menu desplegable" sqref="J71">
      <formula1>$F$125:$F$126</formula1>
    </dataValidation>
    <dataValidation type="list" allowBlank="1" showInputMessage="1" showErrorMessage="1" prompt="Elija una opción del menu desplegable" sqref="I71">
      <formula1>$F$120:$F$121</formula1>
    </dataValidation>
    <dataValidation errorStyle="information" showInputMessage="1" showErrorMessage="1" error="Elija una Categoría" prompt="Elija una Categoría del menú desplegable" sqref="AE11:AE78"/>
  </dataValidations>
  <pageMargins left="0.7" right="0.7" top="0.75" bottom="0.75" header="0.3" footer="0.3"/>
  <pageSetup scale="15" orientation="portrait" r:id="rId1"/>
  <colBreaks count="1" manualBreakCount="1">
    <brk id="31" max="79" man="1"/>
  </colBreaks>
  <ignoredErrors>
    <ignoredError sqref="AJ51"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1"/>
  <sheetViews>
    <sheetView tabSelected="1" topLeftCell="P1" zoomScale="55" zoomScaleNormal="55" zoomScaleSheetLayoutView="10" workbookViewId="0">
      <selection activeCell="AE24" sqref="AE24"/>
    </sheetView>
  </sheetViews>
  <sheetFormatPr baseColWidth="10" defaultRowHeight="15.75" x14ac:dyDescent="0.25"/>
  <cols>
    <col min="1" max="1" width="38.875" customWidth="1"/>
    <col min="2" max="2" width="11.125" bestFit="1" customWidth="1"/>
    <col min="3" max="3" width="29.25" customWidth="1"/>
    <col min="4" max="5" width="11.125" bestFit="1" customWidth="1"/>
    <col min="6" max="6" width="29.625" customWidth="1"/>
    <col min="7" max="8" width="11.125" bestFit="1" customWidth="1"/>
    <col min="9" max="10" width="15.625" customWidth="1"/>
    <col min="11" max="12" width="16.375" style="1119" customWidth="1"/>
    <col min="13" max="13" width="11.125" style="1119" bestFit="1" customWidth="1"/>
    <col min="14" max="14" width="11.125" style="1167" customWidth="1"/>
    <col min="15" max="15" width="30.625" style="1160" customWidth="1"/>
    <col min="16" max="16" width="23.25" style="1120" customWidth="1"/>
    <col min="17" max="17" width="19.5" style="1119" customWidth="1"/>
    <col min="18" max="18" width="16.375" style="1119" customWidth="1"/>
    <col min="19" max="19" width="11.125" style="1119" bestFit="1" customWidth="1"/>
    <col min="20" max="20" width="11.125" style="1167" customWidth="1"/>
    <col min="21" max="21" width="30.625" style="1160" customWidth="1"/>
    <col min="22" max="26" width="23.25" style="1120" customWidth="1"/>
    <col min="29" max="30" width="11" style="1174"/>
    <col min="31" max="31" width="47.125" customWidth="1"/>
    <col min="32" max="34" width="30.625" customWidth="1"/>
  </cols>
  <sheetData>
    <row r="1" spans="1:34" x14ac:dyDescent="0.25">
      <c r="A1" s="1174"/>
      <c r="B1" s="1174"/>
      <c r="C1" s="1174"/>
      <c r="D1" s="1174"/>
      <c r="E1" s="1174"/>
      <c r="F1" s="1174"/>
      <c r="G1" s="1174"/>
    </row>
    <row r="2" spans="1:34" x14ac:dyDescent="0.25">
      <c r="A2" s="1174"/>
      <c r="B2" s="1174"/>
      <c r="C2" s="1174"/>
      <c r="D2" s="1174"/>
      <c r="E2" s="1174"/>
      <c r="F2" s="1174"/>
      <c r="G2" s="1174"/>
    </row>
    <row r="3" spans="1:34" x14ac:dyDescent="0.25">
      <c r="A3" s="1174"/>
      <c r="B3" s="1593" t="s">
        <v>771</v>
      </c>
      <c r="C3" s="1593"/>
      <c r="D3" s="1593"/>
      <c r="E3" s="1593"/>
      <c r="F3" s="1593"/>
      <c r="G3" s="1593"/>
      <c r="H3" s="1593"/>
      <c r="I3" s="1593"/>
      <c r="J3" s="1593"/>
      <c r="K3" s="1593"/>
      <c r="L3" s="1593"/>
      <c r="M3" s="1593"/>
      <c r="Q3"/>
      <c r="R3"/>
      <c r="S3"/>
    </row>
    <row r="4" spans="1:34" x14ac:dyDescent="0.25">
      <c r="A4" s="1174"/>
      <c r="B4" s="1593"/>
      <c r="C4" s="1593"/>
      <c r="D4" s="1593"/>
      <c r="E4" s="1593"/>
      <c r="F4" s="1593"/>
      <c r="G4" s="1593"/>
      <c r="H4" s="1593"/>
      <c r="I4" s="1593"/>
      <c r="J4" s="1593"/>
      <c r="K4" s="1593"/>
      <c r="L4" s="1593"/>
      <c r="M4" s="1593"/>
      <c r="Q4"/>
      <c r="R4"/>
      <c r="S4"/>
    </row>
    <row r="5" spans="1:34" x14ac:dyDescent="0.25">
      <c r="A5" s="1174"/>
      <c r="B5" s="1174"/>
      <c r="C5" s="1174"/>
      <c r="D5" s="1174"/>
      <c r="E5" s="1174"/>
      <c r="F5" s="1174"/>
      <c r="G5" s="1174"/>
    </row>
    <row r="6" spans="1:34" x14ac:dyDescent="0.25">
      <c r="A6" s="1174"/>
      <c r="B6" s="1174"/>
      <c r="C6" s="1174"/>
      <c r="D6" s="1174"/>
      <c r="E6" s="1174"/>
      <c r="F6" s="1174"/>
      <c r="G6" s="1174"/>
    </row>
    <row r="7" spans="1:34" ht="17.25" x14ac:dyDescent="0.25">
      <c r="A7" s="1580"/>
      <c r="B7" s="1580"/>
      <c r="C7" s="1580"/>
      <c r="D7" s="1580"/>
      <c r="E7" s="1580"/>
      <c r="F7" s="1580"/>
      <c r="G7" s="1174"/>
    </row>
    <row r="8" spans="1:34" x14ac:dyDescent="0.25">
      <c r="A8" s="1581"/>
      <c r="B8" s="1581"/>
      <c r="C8" s="1581"/>
      <c r="D8" s="1581"/>
      <c r="E8" s="1581"/>
      <c r="F8" s="1581"/>
      <c r="G8" s="1174"/>
    </row>
    <row r="9" spans="1:34" ht="16.5" thickBot="1" x14ac:dyDescent="0.3">
      <c r="A9" s="1480"/>
      <c r="B9" s="1480"/>
      <c r="C9" s="1480"/>
      <c r="D9" s="1480"/>
      <c r="E9" s="1480"/>
      <c r="F9" s="1480"/>
      <c r="G9" s="1175"/>
    </row>
    <row r="10" spans="1:34" ht="16.5" thickBot="1" x14ac:dyDescent="0.3">
      <c r="A10" s="1582" t="s">
        <v>8</v>
      </c>
      <c r="B10" s="1583" t="s">
        <v>9</v>
      </c>
      <c r="C10" s="1487" t="s">
        <v>10</v>
      </c>
      <c r="D10" s="1583" t="s">
        <v>289</v>
      </c>
      <c r="E10" s="1583" t="s">
        <v>285</v>
      </c>
      <c r="F10" s="1584" t="s">
        <v>253</v>
      </c>
      <c r="G10" s="1466" t="s">
        <v>228</v>
      </c>
      <c r="H10" s="1467" t="s">
        <v>11</v>
      </c>
      <c r="I10" s="1470" t="s">
        <v>12</v>
      </c>
      <c r="J10" s="1473" t="s">
        <v>13</v>
      </c>
      <c r="K10" s="1578" t="s">
        <v>14</v>
      </c>
      <c r="L10" s="1579"/>
      <c r="M10" s="1579"/>
      <c r="N10" s="1600"/>
      <c r="O10" s="1588" t="s">
        <v>741</v>
      </c>
      <c r="P10" s="1588" t="s">
        <v>742</v>
      </c>
      <c r="Q10" s="1578" t="s">
        <v>14</v>
      </c>
      <c r="R10" s="1579"/>
      <c r="S10" s="1579"/>
      <c r="T10" s="1240"/>
      <c r="U10" s="1588" t="s">
        <v>741</v>
      </c>
      <c r="V10" s="1588" t="s">
        <v>784</v>
      </c>
      <c r="W10" s="1578" t="s">
        <v>14</v>
      </c>
      <c r="X10" s="1579"/>
      <c r="Y10" s="1579"/>
      <c r="Z10" s="1400"/>
      <c r="AA10" s="1996" t="s">
        <v>741</v>
      </c>
      <c r="AB10" s="1588" t="s">
        <v>784</v>
      </c>
      <c r="AC10" s="1971"/>
      <c r="AD10" s="1971"/>
    </row>
    <row r="11" spans="1:34" ht="17.25" x14ac:dyDescent="0.25">
      <c r="A11" s="1484"/>
      <c r="B11" s="1468"/>
      <c r="C11" s="1487"/>
      <c r="D11" s="1468"/>
      <c r="E11" s="1468"/>
      <c r="F11" s="1463"/>
      <c r="G11" s="1466"/>
      <c r="H11" s="1468"/>
      <c r="I11" s="1471"/>
      <c r="J11" s="1484"/>
      <c r="K11" s="1488" t="s">
        <v>22</v>
      </c>
      <c r="L11" s="1489"/>
      <c r="M11" s="1500"/>
      <c r="N11" s="1601"/>
      <c r="O11" s="1589"/>
      <c r="P11" s="1589"/>
      <c r="Q11" s="1488" t="s">
        <v>23</v>
      </c>
      <c r="R11" s="1489"/>
      <c r="S11" s="1500"/>
      <c r="T11" s="1241"/>
      <c r="U11" s="1589"/>
      <c r="V11" s="1589"/>
      <c r="W11" s="1488" t="s">
        <v>24</v>
      </c>
      <c r="X11" s="1489"/>
      <c r="Y11" s="1500"/>
      <c r="Z11" s="1401"/>
      <c r="AA11" s="1997"/>
      <c r="AB11" s="1589"/>
      <c r="AC11" s="1971"/>
      <c r="AD11" s="1971"/>
    </row>
    <row r="12" spans="1:34" ht="18" thickBot="1" x14ac:dyDescent="0.3">
      <c r="A12" s="1485"/>
      <c r="B12" s="1469"/>
      <c r="C12" s="1487"/>
      <c r="D12" s="1469"/>
      <c r="E12" s="1469"/>
      <c r="F12" s="1464"/>
      <c r="G12" s="1466"/>
      <c r="H12" s="1469"/>
      <c r="I12" s="1472"/>
      <c r="J12" s="1485"/>
      <c r="K12" s="820" t="s">
        <v>32</v>
      </c>
      <c r="L12" s="265" t="s">
        <v>33</v>
      </c>
      <c r="M12" s="1166" t="s">
        <v>34</v>
      </c>
      <c r="N12" s="1602"/>
      <c r="O12" s="1589"/>
      <c r="P12" s="1589"/>
      <c r="Q12" s="820" t="s">
        <v>32</v>
      </c>
      <c r="R12" s="265" t="s">
        <v>33</v>
      </c>
      <c r="S12" s="1166" t="s">
        <v>34</v>
      </c>
      <c r="T12" s="1241"/>
      <c r="U12" s="1589"/>
      <c r="V12" s="1589"/>
      <c r="W12" s="820" t="s">
        <v>32</v>
      </c>
      <c r="X12" s="265" t="s">
        <v>33</v>
      </c>
      <c r="Y12" s="1166" t="s">
        <v>34</v>
      </c>
      <c r="Z12" s="1401"/>
      <c r="AA12" s="1997"/>
      <c r="AB12" s="1589"/>
      <c r="AC12" s="1971"/>
      <c r="AD12" s="1971"/>
    </row>
    <row r="13" spans="1:34" ht="60.75" thickBot="1" x14ac:dyDescent="0.3">
      <c r="A13" s="1533" t="s">
        <v>211</v>
      </c>
      <c r="B13" s="1535">
        <v>1</v>
      </c>
      <c r="C13" s="1535" t="s">
        <v>663</v>
      </c>
      <c r="D13" s="1537">
        <v>0.08</v>
      </c>
      <c r="E13" s="888" t="s">
        <v>286</v>
      </c>
      <c r="F13" s="889" t="s">
        <v>702</v>
      </c>
      <c r="G13" s="888">
        <v>21</v>
      </c>
      <c r="H13" s="890">
        <v>0.2</v>
      </c>
      <c r="I13" s="890" t="s">
        <v>42</v>
      </c>
      <c r="J13" s="891" t="s">
        <v>40</v>
      </c>
      <c r="K13" s="892">
        <v>3</v>
      </c>
      <c r="L13" s="893">
        <v>3</v>
      </c>
      <c r="M13" s="1017">
        <v>1</v>
      </c>
      <c r="N13" s="1168">
        <f>+M13</f>
        <v>1</v>
      </c>
      <c r="O13" s="1590" t="s">
        <v>178</v>
      </c>
      <c r="P13" s="1598">
        <f>(M13*H13)+(M14*H14)+(M15*H15)+(M16*H16)+(M17*H17)</f>
        <v>0.88000000000000012</v>
      </c>
      <c r="Q13" s="1225">
        <v>18</v>
      </c>
      <c r="R13" s="893">
        <v>10</v>
      </c>
      <c r="S13" s="1017">
        <f>+R13/Q13</f>
        <v>0.55555555555555558</v>
      </c>
      <c r="T13" s="1332">
        <f>+R13/Q13</f>
        <v>0.55555555555555558</v>
      </c>
      <c r="U13" s="1590" t="s">
        <v>178</v>
      </c>
      <c r="V13" s="1598">
        <f>(S13*H133)+(S14*H14)+(S15*H15)+(S16*H16)+(S17*H17)</f>
        <v>0.58222222222222231</v>
      </c>
      <c r="W13" s="1390">
        <v>2</v>
      </c>
      <c r="X13" s="893">
        <v>3</v>
      </c>
      <c r="Y13" s="1017">
        <f>+X13/W13</f>
        <v>1.5</v>
      </c>
      <c r="Z13" s="1332">
        <v>1</v>
      </c>
      <c r="AA13" s="1998" t="s">
        <v>178</v>
      </c>
      <c r="AB13" s="2003">
        <f>(Z13*H13)+(Z14*H14)+(Z15*H15)+(Z16*H16)+(Z17*H17)</f>
        <v>0.82857142857142874</v>
      </c>
      <c r="AC13" s="1972"/>
      <c r="AD13" s="1972"/>
      <c r="AE13" s="1333" t="s">
        <v>706</v>
      </c>
      <c r="AF13" s="1173" t="s">
        <v>759</v>
      </c>
      <c r="AG13" s="1173" t="s">
        <v>783</v>
      </c>
      <c r="AH13" s="1173" t="s">
        <v>783</v>
      </c>
    </row>
    <row r="14" spans="1:34" ht="45.75" thickBot="1" x14ac:dyDescent="0.3">
      <c r="A14" s="1545"/>
      <c r="B14" s="1546"/>
      <c r="C14" s="1546"/>
      <c r="D14" s="1547"/>
      <c r="E14" s="904" t="s">
        <v>288</v>
      </c>
      <c r="F14" s="905" t="s">
        <v>703</v>
      </c>
      <c r="G14" s="904">
        <v>14</v>
      </c>
      <c r="H14" s="906">
        <v>0.2</v>
      </c>
      <c r="I14" s="906" t="s">
        <v>42</v>
      </c>
      <c r="J14" s="907" t="s">
        <v>40</v>
      </c>
      <c r="K14" s="908">
        <v>2</v>
      </c>
      <c r="L14" s="909">
        <v>2</v>
      </c>
      <c r="M14" s="1024">
        <v>1</v>
      </c>
      <c r="N14" s="1168">
        <f t="shared" ref="N14:N78" si="0">+M14</f>
        <v>1</v>
      </c>
      <c r="O14" s="1591"/>
      <c r="P14" s="1595"/>
      <c r="Q14" s="1227">
        <v>6</v>
      </c>
      <c r="R14" s="909">
        <v>4</v>
      </c>
      <c r="S14" s="1017">
        <f t="shared" ref="S14:S77" si="1">+R14/Q14</f>
        <v>0.66666666666666663</v>
      </c>
      <c r="T14" s="1332">
        <f>+R14/Q14</f>
        <v>0.66666666666666663</v>
      </c>
      <c r="U14" s="1591"/>
      <c r="V14" s="1595"/>
      <c r="W14" s="1392">
        <v>3</v>
      </c>
      <c r="X14" s="909">
        <v>3</v>
      </c>
      <c r="Y14" s="1017">
        <f t="shared" ref="Y14:Y77" si="2">+X14/W14</f>
        <v>1</v>
      </c>
      <c r="Z14" s="1332">
        <f>+X14/W14</f>
        <v>1</v>
      </c>
      <c r="AA14" s="1999"/>
      <c r="AB14" s="2004"/>
      <c r="AC14" s="1973"/>
      <c r="AD14" s="1973"/>
      <c r="AE14" s="1172" t="s">
        <v>177</v>
      </c>
      <c r="AF14" s="1336">
        <f>+P27</f>
        <v>1</v>
      </c>
      <c r="AG14" s="1348">
        <f>+V27</f>
        <v>1</v>
      </c>
      <c r="AH14" s="1348">
        <f>+AB27</f>
        <v>1</v>
      </c>
    </row>
    <row r="15" spans="1:34" ht="30.75" thickBot="1" x14ac:dyDescent="0.3">
      <c r="A15" s="1545"/>
      <c r="B15" s="1546"/>
      <c r="C15" s="1546"/>
      <c r="D15" s="1547"/>
      <c r="E15" s="920">
        <v>1.3</v>
      </c>
      <c r="F15" s="905" t="s">
        <v>667</v>
      </c>
      <c r="G15" s="921">
        <v>8.5000000000000006E-2</v>
      </c>
      <c r="H15" s="906">
        <v>0.2</v>
      </c>
      <c r="I15" s="906" t="s">
        <v>39</v>
      </c>
      <c r="J15" s="907" t="s">
        <v>106</v>
      </c>
      <c r="K15" s="922">
        <v>0.03</v>
      </c>
      <c r="L15" s="923">
        <v>1.2552301255230125E-2</v>
      </c>
      <c r="M15" s="1024">
        <v>1</v>
      </c>
      <c r="N15" s="1168">
        <f t="shared" si="0"/>
        <v>1</v>
      </c>
      <c r="O15" s="1591"/>
      <c r="P15" s="1595"/>
      <c r="Q15" s="922">
        <v>0.03</v>
      </c>
      <c r="R15" s="1232">
        <v>1.0101010101010102E-2</v>
      </c>
      <c r="S15" s="1017">
        <v>1</v>
      </c>
      <c r="T15" s="1332">
        <v>1</v>
      </c>
      <c r="U15" s="1591"/>
      <c r="V15" s="1595"/>
      <c r="W15" s="922">
        <v>0.03</v>
      </c>
      <c r="X15" s="1397">
        <v>6.0283687943262408E-2</v>
      </c>
      <c r="Y15" s="1017">
        <v>1</v>
      </c>
      <c r="Z15" s="1332">
        <v>1</v>
      </c>
      <c r="AA15" s="1999"/>
      <c r="AB15" s="2004"/>
      <c r="AC15" s="1973"/>
      <c r="AD15" s="1973"/>
      <c r="AE15" s="1171" t="s">
        <v>178</v>
      </c>
      <c r="AF15" s="1334">
        <f>+P13</f>
        <v>0.88000000000000012</v>
      </c>
      <c r="AG15" s="1349">
        <f>+V13</f>
        <v>0.58222222222222231</v>
      </c>
      <c r="AH15" s="1349">
        <f>+AB13</f>
        <v>0.82857142857142874</v>
      </c>
    </row>
    <row r="16" spans="1:34" ht="45.75" thickBot="1" x14ac:dyDescent="0.3">
      <c r="A16" s="1545"/>
      <c r="B16" s="1546"/>
      <c r="C16" s="1546"/>
      <c r="D16" s="1547"/>
      <c r="E16" s="920">
        <v>1.4</v>
      </c>
      <c r="F16" s="905" t="s">
        <v>704</v>
      </c>
      <c r="G16" s="906">
        <v>0.44</v>
      </c>
      <c r="H16" s="906">
        <v>0.2</v>
      </c>
      <c r="I16" s="906" t="s">
        <v>42</v>
      </c>
      <c r="J16" s="907" t="s">
        <v>40</v>
      </c>
      <c r="K16" s="924">
        <v>25</v>
      </c>
      <c r="L16" s="925">
        <v>10</v>
      </c>
      <c r="M16" s="1024">
        <v>0.4</v>
      </c>
      <c r="N16" s="1168">
        <f t="shared" si="0"/>
        <v>0.4</v>
      </c>
      <c r="O16" s="1591"/>
      <c r="P16" s="1595"/>
      <c r="Q16" s="924">
        <v>18</v>
      </c>
      <c r="R16" s="925">
        <v>8</v>
      </c>
      <c r="S16" s="1017">
        <f t="shared" si="1"/>
        <v>0.44444444444444442</v>
      </c>
      <c r="T16" s="1332">
        <f>+R16/Q16</f>
        <v>0.44444444444444442</v>
      </c>
      <c r="U16" s="1591"/>
      <c r="V16" s="1595"/>
      <c r="W16" s="924">
        <v>7</v>
      </c>
      <c r="X16" s="925">
        <v>1</v>
      </c>
      <c r="Y16" s="1017">
        <f t="shared" ref="Y16:Y79" si="3">+X16/W16</f>
        <v>0.14285714285714285</v>
      </c>
      <c r="Z16" s="1332">
        <f>+X16/W16</f>
        <v>0.14285714285714285</v>
      </c>
      <c r="AA16" s="1999"/>
      <c r="AB16" s="2004"/>
      <c r="AC16" s="1973"/>
      <c r="AD16" s="1973"/>
      <c r="AE16" s="1171" t="s">
        <v>179</v>
      </c>
      <c r="AF16" s="1335">
        <f>+P35</f>
        <v>1</v>
      </c>
      <c r="AG16" s="1350">
        <f>+V35</f>
        <v>1</v>
      </c>
      <c r="AH16" s="1350">
        <f>+AB35</f>
        <v>1</v>
      </c>
    </row>
    <row r="17" spans="1:34" ht="60.75" thickBot="1" x14ac:dyDescent="0.3">
      <c r="A17" s="1534"/>
      <c r="B17" s="1536"/>
      <c r="C17" s="1536"/>
      <c r="D17" s="1538"/>
      <c r="E17" s="927">
        <v>1.5</v>
      </c>
      <c r="F17" s="928" t="s">
        <v>662</v>
      </c>
      <c r="G17" s="929">
        <v>0.48</v>
      </c>
      <c r="H17" s="929">
        <v>0.2</v>
      </c>
      <c r="I17" s="929" t="s">
        <v>39</v>
      </c>
      <c r="J17" s="930" t="s">
        <v>40</v>
      </c>
      <c r="K17" s="931">
        <v>0.76500000000000001</v>
      </c>
      <c r="L17" s="932">
        <v>0.76500000000000001</v>
      </c>
      <c r="M17" s="1132">
        <v>1</v>
      </c>
      <c r="N17" s="1168">
        <f t="shared" si="0"/>
        <v>1</v>
      </c>
      <c r="O17" s="1592"/>
      <c r="P17" s="1596"/>
      <c r="Q17" s="931">
        <v>1</v>
      </c>
      <c r="R17" s="1230">
        <v>0.8</v>
      </c>
      <c r="S17" s="1017">
        <f t="shared" si="1"/>
        <v>0.8</v>
      </c>
      <c r="T17" s="1332">
        <f>+R17/Q17</f>
        <v>0.8</v>
      </c>
      <c r="U17" s="1592"/>
      <c r="V17" s="1596"/>
      <c r="W17" s="931">
        <v>0.8</v>
      </c>
      <c r="X17" s="1395">
        <v>0.8</v>
      </c>
      <c r="Y17" s="1017">
        <f t="shared" si="3"/>
        <v>1</v>
      </c>
      <c r="Z17" s="1332">
        <f>+X17/W17</f>
        <v>1</v>
      </c>
      <c r="AA17" s="2000"/>
      <c r="AB17" s="2005"/>
      <c r="AC17" s="1973"/>
      <c r="AD17" s="1973"/>
      <c r="AE17" s="1171" t="s">
        <v>183</v>
      </c>
      <c r="AF17" s="1335">
        <f>AVERAGE(P46,P54,P55,P62)</f>
        <v>0.63510164159761562</v>
      </c>
      <c r="AG17" s="1335">
        <f>AVERAGE(V46,V54,V55,V62)</f>
        <v>0.67132047199547218</v>
      </c>
      <c r="AH17" s="1350">
        <f>AVERAGE(AB46,AB54,AB55,AB62)</f>
        <v>0.88503516683099737</v>
      </c>
    </row>
    <row r="18" spans="1:34" ht="51.75" customHeight="1" thickBot="1" x14ac:dyDescent="0.3">
      <c r="A18" s="1533" t="s">
        <v>598</v>
      </c>
      <c r="B18" s="1535">
        <v>2</v>
      </c>
      <c r="C18" s="1535" t="s">
        <v>663</v>
      </c>
      <c r="D18" s="1537">
        <v>9.4799999999999995E-2</v>
      </c>
      <c r="E18" s="888" t="s">
        <v>276</v>
      </c>
      <c r="F18" s="893" t="s">
        <v>657</v>
      </c>
      <c r="G18" s="890">
        <v>0.93</v>
      </c>
      <c r="H18" s="890">
        <v>0.2</v>
      </c>
      <c r="I18" s="890" t="s">
        <v>39</v>
      </c>
      <c r="J18" s="891" t="s">
        <v>40</v>
      </c>
      <c r="K18" s="945">
        <v>0.25</v>
      </c>
      <c r="L18" s="946">
        <v>0.31744735352809067</v>
      </c>
      <c r="M18" s="1017">
        <v>1</v>
      </c>
      <c r="N18" s="1168">
        <f t="shared" si="0"/>
        <v>1</v>
      </c>
      <c r="O18" s="1590" t="s">
        <v>191</v>
      </c>
      <c r="P18" s="1598">
        <f>(M18*H18)+(M19*H19)+(M20*H20)+(M21*H21)+(M22*H22)+(M23*H23)</f>
        <v>0.70123568160655414</v>
      </c>
      <c r="Q18" s="945">
        <v>0.25</v>
      </c>
      <c r="R18" s="1229">
        <v>0.46050252200519332</v>
      </c>
      <c r="S18" s="1017">
        <f t="shared" si="1"/>
        <v>1.8420100880207733</v>
      </c>
      <c r="T18" s="1332">
        <v>1</v>
      </c>
      <c r="U18" s="1590" t="s">
        <v>191</v>
      </c>
      <c r="V18" s="1598">
        <f>(T18*H18)+(S19*H19)+(T20*H20)+(S21*H21)+(S22*H22)+(T23*H23)</f>
        <v>0.86950439937524693</v>
      </c>
      <c r="W18" s="945">
        <v>0.25</v>
      </c>
      <c r="X18" s="1394">
        <v>0.40102933052406942</v>
      </c>
      <c r="Y18" s="1017">
        <f t="shared" si="3"/>
        <v>1.6041173220962777</v>
      </c>
      <c r="Z18" s="1332">
        <v>1</v>
      </c>
      <c r="AA18" s="1998" t="s">
        <v>191</v>
      </c>
      <c r="AB18" s="2003">
        <f>(Z18*H18)+(Z19*H19)+(Z20*H20)+(Z21*H21)+(Z22*H22)+(Z23*H23)</f>
        <v>0.95482580184583288</v>
      </c>
      <c r="AC18" s="1972"/>
      <c r="AD18" s="1972"/>
      <c r="AE18" s="1171" t="s">
        <v>760</v>
      </c>
      <c r="AF18" s="1334">
        <f>AVERAGE(P53,P59)</f>
        <v>1</v>
      </c>
      <c r="AG18" s="1334">
        <f>AVERAGE(V53,V59)</f>
        <v>0.66666666666666663</v>
      </c>
      <c r="AH18" s="1349">
        <f>AVERAGE(AB53,AB59)</f>
        <v>0.83333333333333326</v>
      </c>
    </row>
    <row r="19" spans="1:34" ht="45.75" thickBot="1" x14ac:dyDescent="0.3">
      <c r="A19" s="1545"/>
      <c r="B19" s="1546"/>
      <c r="C19" s="1546"/>
      <c r="D19" s="1547"/>
      <c r="E19" s="920">
        <v>2.2000000000000002</v>
      </c>
      <c r="F19" s="909" t="s">
        <v>658</v>
      </c>
      <c r="G19" s="906">
        <v>0.83</v>
      </c>
      <c r="H19" s="906">
        <v>0.1</v>
      </c>
      <c r="I19" s="906" t="s">
        <v>39</v>
      </c>
      <c r="J19" s="907" t="s">
        <v>40</v>
      </c>
      <c r="K19" s="953">
        <v>0.25</v>
      </c>
      <c r="L19" s="923">
        <v>0.28914947623879483</v>
      </c>
      <c r="M19" s="1024">
        <v>1</v>
      </c>
      <c r="N19" s="1168">
        <f t="shared" si="0"/>
        <v>1</v>
      </c>
      <c r="O19" s="1591"/>
      <c r="P19" s="1595"/>
      <c r="Q19" s="953">
        <v>0.25</v>
      </c>
      <c r="R19" s="1232">
        <v>0.19780827624473341</v>
      </c>
      <c r="S19" s="1017">
        <f t="shared" si="1"/>
        <v>0.79123310497893362</v>
      </c>
      <c r="T19" s="1332">
        <f>+R19/Q19</f>
        <v>0.79123310497893362</v>
      </c>
      <c r="U19" s="1591"/>
      <c r="V19" s="1595"/>
      <c r="W19" s="953">
        <v>0.25</v>
      </c>
      <c r="X19" s="1397">
        <v>0.16268302793895448</v>
      </c>
      <c r="Y19" s="1017">
        <f t="shared" si="3"/>
        <v>0.65073211175581791</v>
      </c>
      <c r="Z19" s="1332">
        <f>+X19/W19</f>
        <v>0.65073211175581791</v>
      </c>
      <c r="AA19" s="1999"/>
      <c r="AB19" s="2004"/>
      <c r="AC19" s="1973"/>
      <c r="AD19" s="1973"/>
      <c r="AE19" s="1171" t="s">
        <v>761</v>
      </c>
      <c r="AF19" s="1335">
        <f>AVERAGE(P78,P80)</f>
        <v>0.72388059701492535</v>
      </c>
      <c r="AG19" s="1335">
        <f>AVERAGE(V78,V80)</f>
        <v>0.63432835820895517</v>
      </c>
      <c r="AH19" s="1350">
        <f>AVERAGE(AB78,AB80)</f>
        <v>5.2238805970149252E-2</v>
      </c>
    </row>
    <row r="20" spans="1:34" ht="30.75" thickBot="1" x14ac:dyDescent="0.3">
      <c r="A20" s="1545"/>
      <c r="B20" s="1546"/>
      <c r="C20" s="1546"/>
      <c r="D20" s="1547"/>
      <c r="E20" s="920">
        <v>2.2999999999999998</v>
      </c>
      <c r="F20" s="909" t="s">
        <v>659</v>
      </c>
      <c r="G20" s="906">
        <v>0.94</v>
      </c>
      <c r="H20" s="906">
        <v>0.1</v>
      </c>
      <c r="I20" s="906" t="s">
        <v>39</v>
      </c>
      <c r="J20" s="907" t="s">
        <v>40</v>
      </c>
      <c r="K20" s="953">
        <v>0.25</v>
      </c>
      <c r="L20" s="923">
        <v>0.32624613631028271</v>
      </c>
      <c r="M20" s="1024">
        <v>1</v>
      </c>
      <c r="N20" s="1168">
        <f t="shared" si="0"/>
        <v>1</v>
      </c>
      <c r="O20" s="1591"/>
      <c r="P20" s="1595"/>
      <c r="Q20" s="953">
        <v>0.25</v>
      </c>
      <c r="R20" s="1232">
        <v>0.53970304240526612</v>
      </c>
      <c r="S20" s="1017">
        <f t="shared" si="1"/>
        <v>2.1588121696210645</v>
      </c>
      <c r="T20" s="1332">
        <v>1</v>
      </c>
      <c r="U20" s="1591"/>
      <c r="V20" s="1595"/>
      <c r="W20" s="953">
        <v>0.25</v>
      </c>
      <c r="X20" s="1397">
        <v>0.38439740766433084</v>
      </c>
      <c r="Y20" s="1017">
        <f t="shared" si="3"/>
        <v>1.5375896306573233</v>
      </c>
      <c r="Z20" s="1332">
        <v>1</v>
      </c>
      <c r="AA20" s="1999"/>
      <c r="AB20" s="2004"/>
      <c r="AC20" s="1973"/>
      <c r="AD20" s="1973"/>
      <c r="AE20" s="1171" t="s">
        <v>184</v>
      </c>
      <c r="AF20" s="1335">
        <f>AVERAGE(P64,P69)</f>
        <v>0.6149</v>
      </c>
      <c r="AG20" s="1335">
        <f>AVERAGE(V64,V69)</f>
        <v>0.86299999999999999</v>
      </c>
      <c r="AH20" s="1350">
        <f>AVERAGE(AB64,AB69)</f>
        <v>0.76786363636363641</v>
      </c>
    </row>
    <row r="21" spans="1:34" ht="30.75" thickBot="1" x14ac:dyDescent="0.3">
      <c r="A21" s="1545"/>
      <c r="B21" s="1546"/>
      <c r="C21" s="1546"/>
      <c r="D21" s="1547"/>
      <c r="E21" s="920">
        <v>2.4</v>
      </c>
      <c r="F21" s="909" t="s">
        <v>660</v>
      </c>
      <c r="G21" s="906">
        <v>0.88</v>
      </c>
      <c r="H21" s="906">
        <v>0.2</v>
      </c>
      <c r="I21" s="906" t="s">
        <v>39</v>
      </c>
      <c r="J21" s="907" t="s">
        <v>40</v>
      </c>
      <c r="K21" s="953">
        <v>0.25</v>
      </c>
      <c r="L21" s="923">
        <v>4.4835365181403991E-2</v>
      </c>
      <c r="M21" s="1024">
        <v>0.17934146072561596</v>
      </c>
      <c r="N21" s="1168">
        <f t="shared" si="0"/>
        <v>0.17934146072561596</v>
      </c>
      <c r="O21" s="1591"/>
      <c r="P21" s="1595"/>
      <c r="Q21" s="953">
        <v>0.25</v>
      </c>
      <c r="R21" s="1232">
        <v>0.16638463248164068</v>
      </c>
      <c r="S21" s="1017">
        <f t="shared" si="1"/>
        <v>0.66553852992656271</v>
      </c>
      <c r="T21" s="1332">
        <f>+R21/Q21</f>
        <v>0.66553852992656271</v>
      </c>
      <c r="U21" s="1591"/>
      <c r="V21" s="1595"/>
      <c r="W21" s="953">
        <v>0.25</v>
      </c>
      <c r="X21" s="1397">
        <v>0.30058385883326916</v>
      </c>
      <c r="Y21" s="1017">
        <f t="shared" si="3"/>
        <v>1.2023354353330766</v>
      </c>
      <c r="Z21" s="1332">
        <v>1</v>
      </c>
      <c r="AA21" s="1999"/>
      <c r="AB21" s="2004"/>
      <c r="AC21" s="1973"/>
      <c r="AD21" s="1973"/>
      <c r="AE21" s="1171" t="s">
        <v>188</v>
      </c>
      <c r="AF21" s="1334">
        <f>+P25</f>
        <v>0.98567819299370263</v>
      </c>
      <c r="AG21" s="1349">
        <f>+V25</f>
        <v>0.97913524384112627</v>
      </c>
      <c r="AH21" s="1349">
        <f>+AB25</f>
        <v>0.94807220066215003</v>
      </c>
    </row>
    <row r="22" spans="1:34" ht="45.75" thickBot="1" x14ac:dyDescent="0.3">
      <c r="A22" s="1545"/>
      <c r="B22" s="1546"/>
      <c r="C22" s="1546"/>
      <c r="D22" s="1547"/>
      <c r="E22" s="920">
        <v>2.5</v>
      </c>
      <c r="F22" s="909" t="s">
        <v>715</v>
      </c>
      <c r="G22" s="906">
        <v>0.76</v>
      </c>
      <c r="H22" s="906">
        <v>0.2</v>
      </c>
      <c r="I22" s="906" t="s">
        <v>42</v>
      </c>
      <c r="J22" s="907" t="s">
        <v>40</v>
      </c>
      <c r="K22" s="956">
        <v>2018063217</v>
      </c>
      <c r="L22" s="957">
        <v>1111431629</v>
      </c>
      <c r="M22" s="1024">
        <v>0.55074173080277689</v>
      </c>
      <c r="N22" s="1168">
        <f t="shared" si="0"/>
        <v>0.55074173080277689</v>
      </c>
      <c r="O22" s="1591"/>
      <c r="P22" s="1595"/>
      <c r="Q22" s="956">
        <v>5202525752</v>
      </c>
      <c r="R22" s="957">
        <v>4091094123</v>
      </c>
      <c r="S22" s="1017">
        <f t="shared" si="1"/>
        <v>0.78636691446020546</v>
      </c>
      <c r="T22" s="1332">
        <f>+R22/Q22</f>
        <v>0.78636691446020546</v>
      </c>
      <c r="U22" s="1591"/>
      <c r="V22" s="1595"/>
      <c r="W22" s="956">
        <v>7789941519</v>
      </c>
      <c r="X22" s="957">
        <v>7390807922</v>
      </c>
      <c r="Y22" s="1017">
        <f t="shared" si="3"/>
        <v>0.94876295335125482</v>
      </c>
      <c r="Z22" s="1332">
        <f>+X22/W22</f>
        <v>0.94876295335125482</v>
      </c>
      <c r="AA22" s="1999"/>
      <c r="AB22" s="2004"/>
      <c r="AC22" s="1973"/>
      <c r="AD22" s="1973"/>
      <c r="AE22" s="1171" t="s">
        <v>59</v>
      </c>
      <c r="AF22" s="1334">
        <f>+P42</f>
        <v>0.78345770380074642</v>
      </c>
      <c r="AG22" s="1349">
        <f>+V42</f>
        <v>1</v>
      </c>
      <c r="AH22" s="1349">
        <f>+AB42</f>
        <v>0.5</v>
      </c>
    </row>
    <row r="23" spans="1:34" ht="30.75" thickBot="1" x14ac:dyDescent="0.3">
      <c r="A23" s="1534"/>
      <c r="B23" s="1536"/>
      <c r="C23" s="1536"/>
      <c r="D23" s="1538"/>
      <c r="E23" s="927">
        <v>2.6</v>
      </c>
      <c r="F23" s="928" t="s">
        <v>661</v>
      </c>
      <c r="G23" s="961">
        <v>0.97</v>
      </c>
      <c r="H23" s="929">
        <v>0.2</v>
      </c>
      <c r="I23" s="929" t="s">
        <v>39</v>
      </c>
      <c r="J23" s="930" t="s">
        <v>40</v>
      </c>
      <c r="K23" s="962">
        <v>0.57999999999999996</v>
      </c>
      <c r="L23" s="932">
        <v>0.45013522557253921</v>
      </c>
      <c r="M23" s="1132">
        <v>0.77609521650437796</v>
      </c>
      <c r="N23" s="1168">
        <f t="shared" si="0"/>
        <v>0.77609521650437796</v>
      </c>
      <c r="O23" s="1592"/>
      <c r="P23" s="1596"/>
      <c r="Q23" s="962">
        <v>0.38</v>
      </c>
      <c r="R23" s="1230">
        <v>0.75179005437360458</v>
      </c>
      <c r="S23" s="1017">
        <f t="shared" si="1"/>
        <v>1.9783948799305384</v>
      </c>
      <c r="T23" s="1332">
        <v>1</v>
      </c>
      <c r="U23" s="1592"/>
      <c r="V23" s="1596"/>
      <c r="W23" s="962">
        <v>0.02</v>
      </c>
      <c r="X23" s="1395">
        <v>0.90090062902175605</v>
      </c>
      <c r="Y23" s="1017">
        <f t="shared" si="3"/>
        <v>45.045031451087802</v>
      </c>
      <c r="Z23" s="1332">
        <v>1</v>
      </c>
      <c r="AA23" s="2000"/>
      <c r="AB23" s="2005"/>
      <c r="AC23" s="1973"/>
      <c r="AD23" s="1973"/>
      <c r="AE23" s="1171" t="s">
        <v>190</v>
      </c>
      <c r="AF23" s="1334">
        <f>+P24</f>
        <v>0.98076923076923073</v>
      </c>
      <c r="AG23" s="1349">
        <f>+V24</f>
        <v>0.97660000000000002</v>
      </c>
      <c r="AH23" s="1349">
        <f>+AB24</f>
        <v>0.85661764705882348</v>
      </c>
    </row>
    <row r="24" spans="1:34" ht="90.75" thickBot="1" x14ac:dyDescent="0.3">
      <c r="A24" s="967" t="s">
        <v>595</v>
      </c>
      <c r="B24" s="968">
        <v>3</v>
      </c>
      <c r="C24" s="968" t="s">
        <v>663</v>
      </c>
      <c r="D24" s="969">
        <v>1.4999999999999999E-2</v>
      </c>
      <c r="E24" s="968" t="s">
        <v>279</v>
      </c>
      <c r="F24" s="970" t="s">
        <v>696</v>
      </c>
      <c r="G24" s="971" t="s">
        <v>697</v>
      </c>
      <c r="H24" s="972">
        <v>1</v>
      </c>
      <c r="I24" s="972" t="s">
        <v>39</v>
      </c>
      <c r="J24" s="973" t="s">
        <v>106</v>
      </c>
      <c r="K24" s="974">
        <v>1</v>
      </c>
      <c r="L24" s="969">
        <v>0.98076923076923073</v>
      </c>
      <c r="M24" s="1133">
        <v>0.98076923076923073</v>
      </c>
      <c r="N24" s="1168">
        <f t="shared" si="0"/>
        <v>0.98076923076923073</v>
      </c>
      <c r="O24" s="1165" t="s">
        <v>190</v>
      </c>
      <c r="P24" s="1140">
        <f>M24*H24</f>
        <v>0.98076923076923073</v>
      </c>
      <c r="Q24" s="974">
        <v>1</v>
      </c>
      <c r="R24" s="969">
        <v>0.97660000000000002</v>
      </c>
      <c r="S24" s="1017">
        <f t="shared" si="1"/>
        <v>0.97660000000000002</v>
      </c>
      <c r="T24" s="1332">
        <f>+R24/Q24</f>
        <v>0.97660000000000002</v>
      </c>
      <c r="U24" s="1165" t="s">
        <v>190</v>
      </c>
      <c r="V24" s="1140">
        <f>S24*H24</f>
        <v>0.97660000000000002</v>
      </c>
      <c r="W24" s="974">
        <v>1</v>
      </c>
      <c r="X24" s="969">
        <v>0.85661764705882348</v>
      </c>
      <c r="Y24" s="1017">
        <f t="shared" si="3"/>
        <v>0.85661764705882348</v>
      </c>
      <c r="Z24" s="1332">
        <f>+X24/W24</f>
        <v>0.85661764705882348</v>
      </c>
      <c r="AA24" s="2001" t="s">
        <v>190</v>
      </c>
      <c r="AB24" s="2006">
        <f>Z24*H24</f>
        <v>0.85661764705882348</v>
      </c>
      <c r="AC24" s="1972"/>
      <c r="AD24" s="1972"/>
      <c r="AE24" s="1343" t="s">
        <v>191</v>
      </c>
      <c r="AF24" s="1344">
        <f>+P18</f>
        <v>0.70123568160655414</v>
      </c>
      <c r="AG24" s="1351">
        <f>+V18</f>
        <v>0.86950439937524693</v>
      </c>
      <c r="AH24" s="1351">
        <f>+AB18</f>
        <v>0.95482580184583288</v>
      </c>
    </row>
    <row r="25" spans="1:34" ht="75.75" thickBot="1" x14ac:dyDescent="0.3">
      <c r="A25" s="1533" t="s">
        <v>598</v>
      </c>
      <c r="B25" s="1535">
        <v>4</v>
      </c>
      <c r="C25" s="1535" t="s">
        <v>663</v>
      </c>
      <c r="D25" s="1537">
        <v>0.03</v>
      </c>
      <c r="E25" s="888" t="s">
        <v>281</v>
      </c>
      <c r="F25" s="893" t="s">
        <v>656</v>
      </c>
      <c r="G25" s="986">
        <v>0.78</v>
      </c>
      <c r="H25" s="890">
        <v>0.5</v>
      </c>
      <c r="I25" s="890" t="s">
        <v>39</v>
      </c>
      <c r="J25" s="891" t="s">
        <v>106</v>
      </c>
      <c r="K25" s="987">
        <v>1</v>
      </c>
      <c r="L25" s="946">
        <v>0.98005203816131825</v>
      </c>
      <c r="M25" s="1017">
        <v>0.98005203816131825</v>
      </c>
      <c r="N25" s="1168">
        <f t="shared" si="0"/>
        <v>0.98005203816131825</v>
      </c>
      <c r="O25" s="1590" t="s">
        <v>188</v>
      </c>
      <c r="P25" s="1598">
        <f>(M25*H25)+(M26*H26)</f>
        <v>0.98567819299370263</v>
      </c>
      <c r="Q25" s="987">
        <v>1</v>
      </c>
      <c r="R25" s="1229">
        <v>0.99095022624434392</v>
      </c>
      <c r="S25" s="1017">
        <f t="shared" si="1"/>
        <v>0.99095022624434392</v>
      </c>
      <c r="T25" s="1332">
        <f>+R25/Q25</f>
        <v>0.99095022624434392</v>
      </c>
      <c r="U25" s="1590" t="s">
        <v>188</v>
      </c>
      <c r="V25" s="1598">
        <f>(S25*H25)+(S26*H26)</f>
        <v>0.97913524384112627</v>
      </c>
      <c r="W25" s="987">
        <v>1</v>
      </c>
      <c r="X25" s="1394">
        <v>0.96860816944024208</v>
      </c>
      <c r="Y25" s="1017">
        <f t="shared" si="3"/>
        <v>0.96860816944024208</v>
      </c>
      <c r="Z25" s="1332">
        <f>+X25/W25</f>
        <v>0.96860816944024208</v>
      </c>
      <c r="AA25" s="1998" t="s">
        <v>188</v>
      </c>
      <c r="AB25" s="2003">
        <f>(Z25*H25)+(Z26*H26)</f>
        <v>0.94807220066215003</v>
      </c>
      <c r="AC25" s="1972"/>
      <c r="AD25" s="1972"/>
      <c r="AE25" s="1345" t="s">
        <v>785</v>
      </c>
      <c r="AF25" s="1346">
        <f>(AF14*0.12)+(AF15*0.08)+(AF16*0.11)+(AF17*0.25)+(AF18*0.05)+(AF19*0.06)+(AF20*0.17)+(AF21*0.03)+(AF22*0.03)+(AF23*0.02)+(AF24*0.09)</f>
        <v>0.79294191908410738</v>
      </c>
      <c r="AG25" s="1347">
        <f>(AG14*0.12)+(AG15*0.08)+(AG16*0.11)+(AG17*0.25)+(AG18*0.05)+(AG19*0.06)+(AG20*0.17)+(AG21*0.03)+(AG22*0.03)+(AG23*0.02)+(AG24*0.09)</f>
        <v>0.81967238386152241</v>
      </c>
      <c r="AH25" s="1347">
        <f>(AH14*0.12)+(AH15*0.08)+(AH16*0.11)+(AH17*0.25)+(AH18*0.05)+(AH19*0.06)+(AH20*0.17)+(AH21*0.03)+(AH22*0.03)+(AH23*0.02)+(AH24*0.09)</f>
        <v>0.83939116032732319</v>
      </c>
    </row>
    <row r="26" spans="1:34" ht="45.75" thickBot="1" x14ac:dyDescent="0.3">
      <c r="A26" s="1534"/>
      <c r="B26" s="1536"/>
      <c r="C26" s="1536"/>
      <c r="D26" s="1538"/>
      <c r="E26" s="927" t="s">
        <v>282</v>
      </c>
      <c r="F26" s="990" t="s">
        <v>687</v>
      </c>
      <c r="G26" s="929">
        <v>0.94</v>
      </c>
      <c r="H26" s="929">
        <v>0.5</v>
      </c>
      <c r="I26" s="929" t="s">
        <v>39</v>
      </c>
      <c r="J26" s="930" t="s">
        <v>106</v>
      </c>
      <c r="K26" s="991">
        <v>1</v>
      </c>
      <c r="L26" s="932">
        <v>0.99130434782608701</v>
      </c>
      <c r="M26" s="1132">
        <v>0.99130434782608701</v>
      </c>
      <c r="N26" s="1168">
        <f t="shared" si="0"/>
        <v>0.99130434782608701</v>
      </c>
      <c r="O26" s="1592"/>
      <c r="P26" s="1596"/>
      <c r="Q26" s="991">
        <v>1</v>
      </c>
      <c r="R26" s="1230">
        <v>0.9673202614379085</v>
      </c>
      <c r="S26" s="1017">
        <f t="shared" si="1"/>
        <v>0.9673202614379085</v>
      </c>
      <c r="T26" s="1332">
        <f>+R26/Q26</f>
        <v>0.9673202614379085</v>
      </c>
      <c r="U26" s="1592"/>
      <c r="V26" s="1596"/>
      <c r="W26" s="991">
        <v>1</v>
      </c>
      <c r="X26" s="1395">
        <v>0.92753623188405798</v>
      </c>
      <c r="Y26" s="1017">
        <f t="shared" si="3"/>
        <v>0.92753623188405798</v>
      </c>
      <c r="Z26" s="1332">
        <f>+X26/W26</f>
        <v>0.92753623188405798</v>
      </c>
      <c r="AA26" s="2000"/>
      <c r="AB26" s="2005"/>
      <c r="AC26" s="1973"/>
      <c r="AD26" s="1973"/>
    </row>
    <row r="27" spans="1:34" ht="45.75" thickBot="1" x14ac:dyDescent="0.3">
      <c r="A27" s="1533" t="s">
        <v>598</v>
      </c>
      <c r="B27" s="1535">
        <v>5</v>
      </c>
      <c r="C27" s="1535" t="s">
        <v>720</v>
      </c>
      <c r="D27" s="1548">
        <v>0.06</v>
      </c>
      <c r="E27" s="888" t="s">
        <v>559</v>
      </c>
      <c r="F27" s="893" t="s">
        <v>705</v>
      </c>
      <c r="G27" s="888">
        <v>3</v>
      </c>
      <c r="H27" s="890">
        <v>0.25</v>
      </c>
      <c r="I27" s="890" t="s">
        <v>42</v>
      </c>
      <c r="J27" s="891" t="s">
        <v>40</v>
      </c>
      <c r="K27" s="995">
        <v>0</v>
      </c>
      <c r="L27" s="888">
        <v>0</v>
      </c>
      <c r="M27" s="1162">
        <v>0</v>
      </c>
      <c r="N27" s="1168">
        <f t="shared" si="0"/>
        <v>0</v>
      </c>
      <c r="O27" s="1590" t="s">
        <v>177</v>
      </c>
      <c r="P27" s="1585">
        <v>1</v>
      </c>
      <c r="Q27" s="995">
        <v>1</v>
      </c>
      <c r="R27" s="1228">
        <v>1</v>
      </c>
      <c r="S27" s="1017">
        <f t="shared" si="1"/>
        <v>1</v>
      </c>
      <c r="T27" s="1332">
        <f>+R27/Q27</f>
        <v>1</v>
      </c>
      <c r="U27" s="1590" t="s">
        <v>177</v>
      </c>
      <c r="V27" s="1585">
        <v>1</v>
      </c>
      <c r="W27" s="995">
        <v>1</v>
      </c>
      <c r="X27" s="1393">
        <v>1</v>
      </c>
      <c r="Y27" s="1017">
        <f t="shared" si="3"/>
        <v>1</v>
      </c>
      <c r="Z27" s="1332">
        <f>+X27/W27</f>
        <v>1</v>
      </c>
      <c r="AA27" s="1998" t="s">
        <v>177</v>
      </c>
      <c r="AB27" s="2007">
        <v>1</v>
      </c>
      <c r="AC27" s="1974"/>
      <c r="AD27" s="1974"/>
    </row>
    <row r="28" spans="1:34" ht="60.75" thickBot="1" x14ac:dyDescent="0.3">
      <c r="A28" s="1545"/>
      <c r="B28" s="1546"/>
      <c r="C28" s="1546"/>
      <c r="D28" s="1549"/>
      <c r="E28" s="904" t="s">
        <v>621</v>
      </c>
      <c r="F28" s="909" t="s">
        <v>695</v>
      </c>
      <c r="G28" s="904">
        <v>1</v>
      </c>
      <c r="H28" s="906">
        <v>0.25</v>
      </c>
      <c r="I28" s="906" t="s">
        <v>42</v>
      </c>
      <c r="J28" s="907" t="s">
        <v>106</v>
      </c>
      <c r="K28" s="1001">
        <v>1</v>
      </c>
      <c r="L28" s="909">
        <v>1</v>
      </c>
      <c r="M28" s="1163">
        <v>1</v>
      </c>
      <c r="N28" s="1168">
        <f t="shared" si="0"/>
        <v>1</v>
      </c>
      <c r="O28" s="1591"/>
      <c r="P28" s="1586"/>
      <c r="Q28" s="1001">
        <v>0</v>
      </c>
      <c r="R28" s="909">
        <v>0</v>
      </c>
      <c r="S28" s="1017"/>
      <c r="T28" s="1332"/>
      <c r="U28" s="1591"/>
      <c r="V28" s="1586"/>
      <c r="W28" s="1001">
        <v>0</v>
      </c>
      <c r="X28" s="909">
        <v>0</v>
      </c>
      <c r="Y28" s="1017"/>
      <c r="Z28" s="1332"/>
      <c r="AA28" s="1999"/>
      <c r="AB28" s="2008"/>
      <c r="AC28" s="1974"/>
      <c r="AD28" s="1974"/>
    </row>
    <row r="29" spans="1:34" ht="45.75" thickBot="1" x14ac:dyDescent="0.3">
      <c r="A29" s="1545"/>
      <c r="B29" s="1546"/>
      <c r="C29" s="1546"/>
      <c r="D29" s="1549"/>
      <c r="E29" s="904" t="s">
        <v>622</v>
      </c>
      <c r="F29" s="909" t="s">
        <v>298</v>
      </c>
      <c r="G29" s="904">
        <v>3</v>
      </c>
      <c r="H29" s="906">
        <v>0.25</v>
      </c>
      <c r="I29" s="906" t="s">
        <v>42</v>
      </c>
      <c r="J29" s="907" t="s">
        <v>40</v>
      </c>
      <c r="K29" s="1001">
        <v>0</v>
      </c>
      <c r="L29" s="909">
        <v>0</v>
      </c>
      <c r="M29" s="1163">
        <v>0</v>
      </c>
      <c r="N29" s="1168">
        <f t="shared" si="0"/>
        <v>0</v>
      </c>
      <c r="O29" s="1591"/>
      <c r="P29" s="1586"/>
      <c r="Q29" s="1001">
        <v>1</v>
      </c>
      <c r="R29" s="909">
        <v>1</v>
      </c>
      <c r="S29" s="1017">
        <f t="shared" si="1"/>
        <v>1</v>
      </c>
      <c r="T29" s="1332">
        <f t="shared" ref="T29:T44" si="4">+R29/Q29</f>
        <v>1</v>
      </c>
      <c r="U29" s="1591"/>
      <c r="V29" s="1586"/>
      <c r="W29" s="1001">
        <v>1</v>
      </c>
      <c r="X29" s="909">
        <v>1</v>
      </c>
      <c r="Y29" s="1017">
        <f t="shared" ref="Y29:Y81" si="5">+X29/W29</f>
        <v>1</v>
      </c>
      <c r="Z29" s="1332">
        <f t="shared" ref="Z29:Z44" si="6">+X29/W29</f>
        <v>1</v>
      </c>
      <c r="AA29" s="1999"/>
      <c r="AB29" s="2008"/>
      <c r="AC29" s="1974"/>
      <c r="AD29" s="1974"/>
    </row>
    <row r="30" spans="1:34" ht="45.75" thickBot="1" x14ac:dyDescent="0.3">
      <c r="A30" s="1545"/>
      <c r="B30" s="1546"/>
      <c r="C30" s="1546"/>
      <c r="D30" s="1549"/>
      <c r="E30" s="904" t="s">
        <v>623</v>
      </c>
      <c r="F30" s="909" t="s">
        <v>650</v>
      </c>
      <c r="G30" s="904">
        <v>4</v>
      </c>
      <c r="H30" s="906">
        <v>0.25</v>
      </c>
      <c r="I30" s="906" t="s">
        <v>42</v>
      </c>
      <c r="J30" s="907" t="s">
        <v>40</v>
      </c>
      <c r="K30" s="1001">
        <v>1</v>
      </c>
      <c r="L30" s="909">
        <v>1</v>
      </c>
      <c r="M30" s="1163">
        <v>1</v>
      </c>
      <c r="N30" s="1168">
        <f t="shared" si="0"/>
        <v>1</v>
      </c>
      <c r="O30" s="1591"/>
      <c r="P30" s="1586"/>
      <c r="Q30" s="1001">
        <v>1</v>
      </c>
      <c r="R30" s="909">
        <v>1</v>
      </c>
      <c r="S30" s="1017">
        <f t="shared" si="1"/>
        <v>1</v>
      </c>
      <c r="T30" s="1332">
        <f t="shared" si="4"/>
        <v>1</v>
      </c>
      <c r="U30" s="1591"/>
      <c r="V30" s="1586"/>
      <c r="W30" s="1001">
        <v>1</v>
      </c>
      <c r="X30" s="909">
        <v>1</v>
      </c>
      <c r="Y30" s="1017">
        <f t="shared" si="5"/>
        <v>1</v>
      </c>
      <c r="Z30" s="1332">
        <f t="shared" si="6"/>
        <v>1</v>
      </c>
      <c r="AA30" s="1999"/>
      <c r="AB30" s="2008"/>
      <c r="AC30" s="1974"/>
      <c r="AD30" s="1974"/>
    </row>
    <row r="31" spans="1:34" ht="60.75" thickBot="1" x14ac:dyDescent="0.3">
      <c r="A31" s="1545"/>
      <c r="B31" s="1546">
        <v>6</v>
      </c>
      <c r="C31" s="1546" t="s">
        <v>719</v>
      </c>
      <c r="D31" s="1549">
        <v>0.06</v>
      </c>
      <c r="E31" s="904" t="s">
        <v>283</v>
      </c>
      <c r="F31" s="909" t="s">
        <v>261</v>
      </c>
      <c r="G31" s="909">
        <v>4</v>
      </c>
      <c r="H31" s="906">
        <v>0.25</v>
      </c>
      <c r="I31" s="906" t="s">
        <v>42</v>
      </c>
      <c r="J31" s="907" t="s">
        <v>40</v>
      </c>
      <c r="K31" s="908">
        <v>1</v>
      </c>
      <c r="L31" s="909">
        <v>1</v>
      </c>
      <c r="M31" s="1163">
        <v>1</v>
      </c>
      <c r="N31" s="1168">
        <f t="shared" si="0"/>
        <v>1</v>
      </c>
      <c r="O31" s="1591"/>
      <c r="P31" s="1586"/>
      <c r="Q31" s="1227">
        <v>1</v>
      </c>
      <c r="R31" s="909">
        <v>1</v>
      </c>
      <c r="S31" s="1017">
        <f t="shared" si="1"/>
        <v>1</v>
      </c>
      <c r="T31" s="1332">
        <f t="shared" si="4"/>
        <v>1</v>
      </c>
      <c r="U31" s="1591"/>
      <c r="V31" s="1586"/>
      <c r="W31" s="1392">
        <v>1</v>
      </c>
      <c r="X31" s="909">
        <v>1</v>
      </c>
      <c r="Y31" s="1017">
        <f t="shared" si="5"/>
        <v>1</v>
      </c>
      <c r="Z31" s="1332">
        <f t="shared" si="6"/>
        <v>1</v>
      </c>
      <c r="AA31" s="1999"/>
      <c r="AB31" s="2008"/>
      <c r="AC31" s="1974"/>
      <c r="AD31" s="1974"/>
    </row>
    <row r="32" spans="1:34" ht="60.75" thickBot="1" x14ac:dyDescent="0.3">
      <c r="A32" s="1545"/>
      <c r="B32" s="1546"/>
      <c r="C32" s="1546"/>
      <c r="D32" s="1549"/>
      <c r="E32" s="904" t="s">
        <v>722</v>
      </c>
      <c r="F32" s="909" t="s">
        <v>260</v>
      </c>
      <c r="G32" s="909">
        <v>11</v>
      </c>
      <c r="H32" s="906">
        <v>0.25</v>
      </c>
      <c r="I32" s="906" t="s">
        <v>42</v>
      </c>
      <c r="J32" s="907" t="s">
        <v>40</v>
      </c>
      <c r="K32" s="908">
        <v>2</v>
      </c>
      <c r="L32" s="909">
        <v>2</v>
      </c>
      <c r="M32" s="1163">
        <v>1</v>
      </c>
      <c r="N32" s="1168">
        <f t="shared" si="0"/>
        <v>1</v>
      </c>
      <c r="O32" s="1591"/>
      <c r="P32" s="1586"/>
      <c r="Q32" s="1227">
        <v>3</v>
      </c>
      <c r="R32" s="909">
        <v>3</v>
      </c>
      <c r="S32" s="1017">
        <f t="shared" si="1"/>
        <v>1</v>
      </c>
      <c r="T32" s="1332">
        <f t="shared" si="4"/>
        <v>1</v>
      </c>
      <c r="U32" s="1591"/>
      <c r="V32" s="1586"/>
      <c r="W32" s="1392">
        <v>3</v>
      </c>
      <c r="X32" s="909">
        <v>3</v>
      </c>
      <c r="Y32" s="1017">
        <f t="shared" si="5"/>
        <v>1</v>
      </c>
      <c r="Z32" s="1332">
        <f t="shared" si="6"/>
        <v>1</v>
      </c>
      <c r="AA32" s="1999"/>
      <c r="AB32" s="2008"/>
      <c r="AC32" s="1974"/>
      <c r="AD32" s="1974"/>
    </row>
    <row r="33" spans="1:30" ht="60.75" thickBot="1" x14ac:dyDescent="0.3">
      <c r="A33" s="1545"/>
      <c r="B33" s="1546"/>
      <c r="C33" s="1546"/>
      <c r="D33" s="1549"/>
      <c r="E33" s="904" t="s">
        <v>723</v>
      </c>
      <c r="F33" s="909" t="s">
        <v>527</v>
      </c>
      <c r="G33" s="906">
        <v>1</v>
      </c>
      <c r="H33" s="906">
        <v>0.25</v>
      </c>
      <c r="I33" s="906" t="s">
        <v>39</v>
      </c>
      <c r="J33" s="907" t="s">
        <v>106</v>
      </c>
      <c r="K33" s="953">
        <v>1</v>
      </c>
      <c r="L33" s="909">
        <v>1</v>
      </c>
      <c r="M33" s="1163">
        <v>1</v>
      </c>
      <c r="N33" s="1168">
        <f t="shared" si="0"/>
        <v>1</v>
      </c>
      <c r="O33" s="1591"/>
      <c r="P33" s="1586"/>
      <c r="Q33" s="953">
        <v>1</v>
      </c>
      <c r="R33" s="1294">
        <v>1</v>
      </c>
      <c r="S33" s="1017">
        <f t="shared" si="1"/>
        <v>1</v>
      </c>
      <c r="T33" s="1332">
        <f t="shared" si="4"/>
        <v>1</v>
      </c>
      <c r="U33" s="1591"/>
      <c r="V33" s="1586"/>
      <c r="W33" s="953">
        <v>1</v>
      </c>
      <c r="X33" s="1397">
        <v>1</v>
      </c>
      <c r="Y33" s="1017">
        <f t="shared" si="5"/>
        <v>1</v>
      </c>
      <c r="Z33" s="1332">
        <f t="shared" si="6"/>
        <v>1</v>
      </c>
      <c r="AA33" s="1999"/>
      <c r="AB33" s="2008"/>
      <c r="AC33" s="1974"/>
      <c r="AD33" s="1974"/>
    </row>
    <row r="34" spans="1:30" ht="45.75" thickBot="1" x14ac:dyDescent="0.3">
      <c r="A34" s="1534"/>
      <c r="B34" s="1536"/>
      <c r="C34" s="1536"/>
      <c r="D34" s="1551"/>
      <c r="E34" s="933" t="s">
        <v>724</v>
      </c>
      <c r="F34" s="928" t="s">
        <v>531</v>
      </c>
      <c r="G34" s="928">
        <v>2</v>
      </c>
      <c r="H34" s="929">
        <v>0.25</v>
      </c>
      <c r="I34" s="929" t="s">
        <v>42</v>
      </c>
      <c r="J34" s="930" t="s">
        <v>40</v>
      </c>
      <c r="K34" s="992">
        <v>1</v>
      </c>
      <c r="L34" s="928">
        <v>1</v>
      </c>
      <c r="M34" s="1164">
        <v>1</v>
      </c>
      <c r="N34" s="1168">
        <f t="shared" si="0"/>
        <v>1</v>
      </c>
      <c r="O34" s="1592"/>
      <c r="P34" s="1599"/>
      <c r="Q34" s="1226">
        <v>1</v>
      </c>
      <c r="R34" s="928">
        <v>1</v>
      </c>
      <c r="S34" s="1017">
        <f t="shared" si="1"/>
        <v>1</v>
      </c>
      <c r="T34" s="1332">
        <f t="shared" si="4"/>
        <v>1</v>
      </c>
      <c r="U34" s="1597"/>
      <c r="V34" s="1587"/>
      <c r="W34" s="1391">
        <v>1</v>
      </c>
      <c r="X34" s="928">
        <v>1</v>
      </c>
      <c r="Y34" s="1133">
        <f t="shared" si="5"/>
        <v>1</v>
      </c>
      <c r="Z34" s="1977">
        <f t="shared" si="6"/>
        <v>1</v>
      </c>
      <c r="AA34" s="2000"/>
      <c r="AB34" s="2009"/>
      <c r="AC34" s="1974"/>
      <c r="AD34" s="1974"/>
    </row>
    <row r="35" spans="1:30" ht="60.75" thickBot="1" x14ac:dyDescent="0.3">
      <c r="A35" s="1559" t="s">
        <v>598</v>
      </c>
      <c r="B35" s="1535">
        <v>7</v>
      </c>
      <c r="C35" s="1535" t="s">
        <v>267</v>
      </c>
      <c r="D35" s="1548">
        <v>0.11</v>
      </c>
      <c r="E35" s="1084" t="s">
        <v>560</v>
      </c>
      <c r="F35" s="893" t="s">
        <v>262</v>
      </c>
      <c r="G35" s="893">
        <v>3472</v>
      </c>
      <c r="H35" s="890">
        <v>0.15</v>
      </c>
      <c r="I35" s="890" t="s">
        <v>39</v>
      </c>
      <c r="J35" s="891" t="s">
        <v>106</v>
      </c>
      <c r="K35" s="987">
        <v>1</v>
      </c>
      <c r="L35" s="946">
        <v>2.7281021897810218</v>
      </c>
      <c r="M35" s="1162">
        <v>2.7281021897810218</v>
      </c>
      <c r="N35" s="1168">
        <v>1</v>
      </c>
      <c r="O35" s="1590" t="s">
        <v>179</v>
      </c>
      <c r="P35" s="1594">
        <f>(N35*H35)+(M36*H36)+(M37*H37)+(M38*H38)+(M39*H39)+(M40*H40)+(M41*H41)</f>
        <v>1</v>
      </c>
      <c r="Q35" s="987">
        <v>1</v>
      </c>
      <c r="R35" s="1229">
        <v>3.4315000000000002</v>
      </c>
      <c r="S35" s="1017">
        <f>+R35/Q35</f>
        <v>3.4315000000000002</v>
      </c>
      <c r="T35" s="1332">
        <v>1</v>
      </c>
      <c r="U35" s="1590" t="s">
        <v>179</v>
      </c>
      <c r="V35" s="1594">
        <f>(T35*H35)+(S36*H36)+(S37*H37)+(S38*H38)+(S39*H39)+(S40*H40)+(S41*H41)</f>
        <v>1</v>
      </c>
      <c r="W35" s="945">
        <v>1</v>
      </c>
      <c r="X35" s="945">
        <v>4.58</v>
      </c>
      <c r="Y35" s="1017">
        <f>+X35/W35</f>
        <v>4.58</v>
      </c>
      <c r="Z35" s="1168">
        <v>1</v>
      </c>
      <c r="AA35" s="1998" t="s">
        <v>179</v>
      </c>
      <c r="AB35" s="2010">
        <v>1</v>
      </c>
      <c r="AC35" s="1975"/>
      <c r="AD35" s="1975"/>
    </row>
    <row r="36" spans="1:30" ht="30.75" thickBot="1" x14ac:dyDescent="0.3">
      <c r="A36" s="1560"/>
      <c r="B36" s="1546"/>
      <c r="C36" s="1546"/>
      <c r="D36" s="1549"/>
      <c r="E36" s="925" t="s">
        <v>626</v>
      </c>
      <c r="F36" s="909" t="s">
        <v>263</v>
      </c>
      <c r="G36" s="1115">
        <v>95</v>
      </c>
      <c r="H36" s="906">
        <v>0.15</v>
      </c>
      <c r="I36" s="906" t="s">
        <v>39</v>
      </c>
      <c r="J36" s="907" t="s">
        <v>106</v>
      </c>
      <c r="K36" s="1025">
        <v>1</v>
      </c>
      <c r="L36" s="923">
        <v>1</v>
      </c>
      <c r="M36" s="1163">
        <v>1</v>
      </c>
      <c r="N36" s="1168">
        <f t="shared" si="0"/>
        <v>1</v>
      </c>
      <c r="O36" s="1591"/>
      <c r="P36" s="1595"/>
      <c r="Q36" s="1025">
        <v>1</v>
      </c>
      <c r="R36" s="1232">
        <v>1</v>
      </c>
      <c r="S36" s="1017">
        <f t="shared" si="1"/>
        <v>1</v>
      </c>
      <c r="T36" s="1332">
        <f t="shared" si="4"/>
        <v>1</v>
      </c>
      <c r="U36" s="1591"/>
      <c r="V36" s="1595"/>
      <c r="W36" s="953">
        <v>1</v>
      </c>
      <c r="X36" s="953">
        <v>1</v>
      </c>
      <c r="Y36" s="1017">
        <f t="shared" ref="Y36:Y81" si="7">+X36/W36</f>
        <v>1</v>
      </c>
      <c r="Z36" s="1168">
        <f t="shared" ref="Z36:Z51" si="8">+X36/W36</f>
        <v>1</v>
      </c>
      <c r="AA36" s="1999"/>
      <c r="AB36" s="2004"/>
      <c r="AC36" s="1973"/>
      <c r="AD36" s="1973"/>
    </row>
    <row r="37" spans="1:30" ht="30.75" thickBot="1" x14ac:dyDescent="0.3">
      <c r="A37" s="1560"/>
      <c r="B37" s="1546"/>
      <c r="C37" s="1546"/>
      <c r="D37" s="1549"/>
      <c r="E37" s="925" t="s">
        <v>627</v>
      </c>
      <c r="F37" s="909" t="s">
        <v>264</v>
      </c>
      <c r="G37" s="1115">
        <v>69</v>
      </c>
      <c r="H37" s="906">
        <v>0.15</v>
      </c>
      <c r="I37" s="906" t="s">
        <v>39</v>
      </c>
      <c r="J37" s="907" t="s">
        <v>106</v>
      </c>
      <c r="K37" s="1025">
        <v>1</v>
      </c>
      <c r="L37" s="923">
        <v>1</v>
      </c>
      <c r="M37" s="1163">
        <v>1</v>
      </c>
      <c r="N37" s="1168">
        <f t="shared" si="0"/>
        <v>1</v>
      </c>
      <c r="O37" s="1591"/>
      <c r="P37" s="1595"/>
      <c r="Q37" s="1025">
        <v>1</v>
      </c>
      <c r="R37" s="1232">
        <v>1</v>
      </c>
      <c r="S37" s="1017">
        <f t="shared" si="1"/>
        <v>1</v>
      </c>
      <c r="T37" s="1332">
        <f t="shared" si="4"/>
        <v>1</v>
      </c>
      <c r="U37" s="1591"/>
      <c r="V37" s="1595"/>
      <c r="W37" s="953">
        <v>1</v>
      </c>
      <c r="X37" s="953">
        <v>1</v>
      </c>
      <c r="Y37" s="1017">
        <f t="shared" si="7"/>
        <v>1</v>
      </c>
      <c r="Z37" s="1168">
        <f t="shared" si="8"/>
        <v>1</v>
      </c>
      <c r="AA37" s="1999"/>
      <c r="AB37" s="2004"/>
      <c r="AC37" s="1973"/>
      <c r="AD37" s="1973"/>
    </row>
    <row r="38" spans="1:30" ht="60.75" thickBot="1" x14ac:dyDescent="0.3">
      <c r="A38" s="1560"/>
      <c r="B38" s="1546"/>
      <c r="C38" s="1546"/>
      <c r="D38" s="1549"/>
      <c r="E38" s="925" t="s">
        <v>628</v>
      </c>
      <c r="F38" s="909" t="s">
        <v>301</v>
      </c>
      <c r="G38" s="1115">
        <v>7849</v>
      </c>
      <c r="H38" s="906">
        <v>0.15</v>
      </c>
      <c r="I38" s="906" t="s">
        <v>39</v>
      </c>
      <c r="J38" s="907" t="s">
        <v>106</v>
      </c>
      <c r="K38" s="1025">
        <v>1</v>
      </c>
      <c r="L38" s="923">
        <v>1</v>
      </c>
      <c r="M38" s="1163">
        <v>1</v>
      </c>
      <c r="N38" s="1168">
        <f t="shared" si="0"/>
        <v>1</v>
      </c>
      <c r="O38" s="1591"/>
      <c r="P38" s="1595"/>
      <c r="Q38" s="1025">
        <v>1</v>
      </c>
      <c r="R38" s="1232">
        <v>1</v>
      </c>
      <c r="S38" s="1017">
        <f t="shared" si="1"/>
        <v>1</v>
      </c>
      <c r="T38" s="1332">
        <f t="shared" si="4"/>
        <v>1</v>
      </c>
      <c r="U38" s="1591"/>
      <c r="V38" s="1595"/>
      <c r="W38" s="953">
        <v>1</v>
      </c>
      <c r="X38" s="953">
        <v>1</v>
      </c>
      <c r="Y38" s="1017">
        <f t="shared" si="7"/>
        <v>1</v>
      </c>
      <c r="Z38" s="1168">
        <f t="shared" si="8"/>
        <v>1</v>
      </c>
      <c r="AA38" s="1999"/>
      <c r="AB38" s="2004"/>
      <c r="AC38" s="1973"/>
      <c r="AD38" s="1973"/>
    </row>
    <row r="39" spans="1:30" ht="45.75" thickBot="1" x14ac:dyDescent="0.3">
      <c r="A39" s="1560"/>
      <c r="B39" s="1546"/>
      <c r="C39" s="1546"/>
      <c r="D39" s="1549"/>
      <c r="E39" s="925" t="s">
        <v>629</v>
      </c>
      <c r="F39" s="909" t="s">
        <v>265</v>
      </c>
      <c r="G39" s="1115">
        <v>61</v>
      </c>
      <c r="H39" s="906">
        <v>0.15</v>
      </c>
      <c r="I39" s="906" t="s">
        <v>39</v>
      </c>
      <c r="J39" s="907" t="s">
        <v>106</v>
      </c>
      <c r="K39" s="1025">
        <v>1</v>
      </c>
      <c r="L39" s="923">
        <v>1</v>
      </c>
      <c r="M39" s="1163">
        <v>1</v>
      </c>
      <c r="N39" s="1168">
        <f t="shared" si="0"/>
        <v>1</v>
      </c>
      <c r="O39" s="1591"/>
      <c r="P39" s="1595"/>
      <c r="Q39" s="1025">
        <v>1</v>
      </c>
      <c r="R39" s="1232">
        <v>1</v>
      </c>
      <c r="S39" s="1017">
        <f t="shared" si="1"/>
        <v>1</v>
      </c>
      <c r="T39" s="1332">
        <f t="shared" si="4"/>
        <v>1</v>
      </c>
      <c r="U39" s="1591"/>
      <c r="V39" s="1595"/>
      <c r="W39" s="953">
        <v>1</v>
      </c>
      <c r="X39" s="953">
        <v>1</v>
      </c>
      <c r="Y39" s="1017">
        <f t="shared" si="7"/>
        <v>1</v>
      </c>
      <c r="Z39" s="1168">
        <f t="shared" si="8"/>
        <v>1</v>
      </c>
      <c r="AA39" s="1999"/>
      <c r="AB39" s="2004"/>
      <c r="AC39" s="1973"/>
      <c r="AD39" s="1973"/>
    </row>
    <row r="40" spans="1:30" ht="30.75" thickBot="1" x14ac:dyDescent="0.3">
      <c r="A40" s="1560"/>
      <c r="B40" s="1546"/>
      <c r="C40" s="1546"/>
      <c r="D40" s="1549"/>
      <c r="E40" s="925" t="s">
        <v>648</v>
      </c>
      <c r="F40" s="909" t="s">
        <v>269</v>
      </c>
      <c r="G40" s="1115">
        <v>203</v>
      </c>
      <c r="H40" s="906">
        <v>0.15</v>
      </c>
      <c r="I40" s="906" t="s">
        <v>39</v>
      </c>
      <c r="J40" s="907" t="s">
        <v>106</v>
      </c>
      <c r="K40" s="1025">
        <v>1</v>
      </c>
      <c r="L40" s="923">
        <v>1</v>
      </c>
      <c r="M40" s="1163">
        <v>1</v>
      </c>
      <c r="N40" s="1168">
        <f t="shared" si="0"/>
        <v>1</v>
      </c>
      <c r="O40" s="1591"/>
      <c r="P40" s="1595"/>
      <c r="Q40" s="1025">
        <v>1</v>
      </c>
      <c r="R40" s="1232">
        <v>1</v>
      </c>
      <c r="S40" s="1017">
        <f t="shared" si="1"/>
        <v>1</v>
      </c>
      <c r="T40" s="1332">
        <f t="shared" si="4"/>
        <v>1</v>
      </c>
      <c r="U40" s="1591"/>
      <c r="V40" s="1595"/>
      <c r="W40" s="953">
        <v>1</v>
      </c>
      <c r="X40" s="953">
        <v>1</v>
      </c>
      <c r="Y40" s="1017">
        <f t="shared" si="7"/>
        <v>1</v>
      </c>
      <c r="Z40" s="1168">
        <f t="shared" si="8"/>
        <v>1</v>
      </c>
      <c r="AA40" s="1999"/>
      <c r="AB40" s="2004"/>
      <c r="AC40" s="1973"/>
      <c r="AD40" s="1973"/>
    </row>
    <row r="41" spans="1:30" ht="75.75" thickBot="1" x14ac:dyDescent="0.3">
      <c r="A41" s="1561"/>
      <c r="B41" s="1536"/>
      <c r="C41" s="1536"/>
      <c r="D41" s="1551"/>
      <c r="E41" s="1008" t="s">
        <v>630</v>
      </c>
      <c r="F41" s="990" t="s">
        <v>266</v>
      </c>
      <c r="G41" s="990">
        <v>372</v>
      </c>
      <c r="H41" s="929">
        <v>0.1</v>
      </c>
      <c r="I41" s="1041" t="s">
        <v>39</v>
      </c>
      <c r="J41" s="1099" t="s">
        <v>106</v>
      </c>
      <c r="K41" s="962">
        <v>1</v>
      </c>
      <c r="L41" s="932">
        <v>1</v>
      </c>
      <c r="M41" s="1164">
        <v>1</v>
      </c>
      <c r="N41" s="1168">
        <f t="shared" si="0"/>
        <v>1</v>
      </c>
      <c r="O41" s="1592"/>
      <c r="P41" s="1596"/>
      <c r="Q41" s="962">
        <v>1</v>
      </c>
      <c r="R41" s="1230">
        <v>1</v>
      </c>
      <c r="S41" s="1017">
        <f t="shared" si="1"/>
        <v>1</v>
      </c>
      <c r="T41" s="1332">
        <f t="shared" si="4"/>
        <v>1</v>
      </c>
      <c r="U41" s="1592"/>
      <c r="V41" s="1596"/>
      <c r="W41" s="1277">
        <v>1</v>
      </c>
      <c r="X41" s="1277">
        <v>1</v>
      </c>
      <c r="Y41" s="1978">
        <f t="shared" si="7"/>
        <v>1</v>
      </c>
      <c r="Z41" s="1979">
        <f t="shared" si="8"/>
        <v>1</v>
      </c>
      <c r="AA41" s="2000"/>
      <c r="AB41" s="2005"/>
      <c r="AC41" s="1973"/>
      <c r="AD41" s="1973"/>
    </row>
    <row r="42" spans="1:30" ht="60.75" thickBot="1" x14ac:dyDescent="0.3">
      <c r="A42" s="1533" t="s">
        <v>598</v>
      </c>
      <c r="B42" s="1576">
        <v>8</v>
      </c>
      <c r="C42" s="1573" t="s">
        <v>251</v>
      </c>
      <c r="D42" s="1548">
        <v>0.03</v>
      </c>
      <c r="E42" s="888" t="s">
        <v>561</v>
      </c>
      <c r="F42" s="893" t="s">
        <v>732</v>
      </c>
      <c r="G42" s="1016">
        <v>1</v>
      </c>
      <c r="H42" s="890">
        <v>0.34</v>
      </c>
      <c r="I42" s="890" t="s">
        <v>39</v>
      </c>
      <c r="J42" s="1017" t="s">
        <v>106</v>
      </c>
      <c r="K42" s="987">
        <v>1</v>
      </c>
      <c r="L42" s="1293">
        <v>1</v>
      </c>
      <c r="M42" s="1162">
        <v>1</v>
      </c>
      <c r="N42" s="1168">
        <f t="shared" si="0"/>
        <v>1</v>
      </c>
      <c r="O42" s="1590" t="s">
        <v>59</v>
      </c>
      <c r="P42" s="1585">
        <f>((M42*H42)+(M43*H43)+(M44*H44))*0.5+(M45*H45)*0.5</f>
        <v>0.78345770380074642</v>
      </c>
      <c r="Q42" s="987">
        <v>1</v>
      </c>
      <c r="R42" s="1293">
        <v>1</v>
      </c>
      <c r="S42" s="1017">
        <f t="shared" si="1"/>
        <v>1</v>
      </c>
      <c r="T42" s="1332">
        <f t="shared" si="4"/>
        <v>1</v>
      </c>
      <c r="U42" s="1590" t="s">
        <v>59</v>
      </c>
      <c r="V42" s="1585">
        <f>((S42*H42)+(S43*H43)+(S44*H44))*0.5+(T45*H45)*0.5</f>
        <v>1</v>
      </c>
      <c r="W42" s="1983">
        <v>1</v>
      </c>
      <c r="X42" s="1980">
        <v>1</v>
      </c>
      <c r="Y42" s="1017">
        <f t="shared" si="7"/>
        <v>1</v>
      </c>
      <c r="Z42" s="1332">
        <f t="shared" si="8"/>
        <v>1</v>
      </c>
      <c r="AA42" s="1998" t="s">
        <v>59</v>
      </c>
      <c r="AB42" s="2007">
        <f>((Y42*H42)+(Y43*H43)+(Y44*H44))*0.5+(Z45*H45)*0.5</f>
        <v>0.5</v>
      </c>
      <c r="AC42" s="1974"/>
      <c r="AD42" s="1974"/>
    </row>
    <row r="43" spans="1:30" ht="60.75" thickBot="1" x14ac:dyDescent="0.3">
      <c r="A43" s="1569"/>
      <c r="B43" s="1577"/>
      <c r="C43" s="1574"/>
      <c r="D43" s="1557"/>
      <c r="E43" s="904" t="s">
        <v>725</v>
      </c>
      <c r="F43" s="909" t="s">
        <v>733</v>
      </c>
      <c r="G43" s="1022">
        <v>1</v>
      </c>
      <c r="H43" s="906">
        <v>0.33</v>
      </c>
      <c r="I43" s="906" t="s">
        <v>39</v>
      </c>
      <c r="J43" s="1024" t="s">
        <v>106</v>
      </c>
      <c r="K43" s="1025">
        <v>1</v>
      </c>
      <c r="L43" s="1294">
        <v>1</v>
      </c>
      <c r="M43" s="1163">
        <v>1</v>
      </c>
      <c r="N43" s="1168">
        <f t="shared" si="0"/>
        <v>1</v>
      </c>
      <c r="O43" s="1591"/>
      <c r="P43" s="1586"/>
      <c r="Q43" s="1025">
        <v>1</v>
      </c>
      <c r="R43" s="1294">
        <v>1</v>
      </c>
      <c r="S43" s="1017">
        <f t="shared" si="1"/>
        <v>1</v>
      </c>
      <c r="T43" s="1332">
        <f t="shared" si="4"/>
        <v>1</v>
      </c>
      <c r="U43" s="1591"/>
      <c r="V43" s="1586"/>
      <c r="W43" s="1984">
        <v>1</v>
      </c>
      <c r="X43" s="1981">
        <v>1</v>
      </c>
      <c r="Y43" s="1017">
        <f t="shared" si="7"/>
        <v>1</v>
      </c>
      <c r="Z43" s="1332">
        <f t="shared" si="8"/>
        <v>1</v>
      </c>
      <c r="AA43" s="1999"/>
      <c r="AB43" s="2008"/>
      <c r="AC43" s="1974"/>
      <c r="AD43" s="1974"/>
    </row>
    <row r="44" spans="1:30" ht="60.75" thickBot="1" x14ac:dyDescent="0.3">
      <c r="A44" s="1569"/>
      <c r="B44" s="1555"/>
      <c r="C44" s="1575"/>
      <c r="D44" s="1557"/>
      <c r="E44" s="1033" t="s">
        <v>737</v>
      </c>
      <c r="F44" s="909" t="s">
        <v>734</v>
      </c>
      <c r="G44" s="1034">
        <v>1</v>
      </c>
      <c r="H44" s="1023">
        <v>0.33</v>
      </c>
      <c r="I44" s="906" t="s">
        <v>39</v>
      </c>
      <c r="J44" s="1024" t="s">
        <v>106</v>
      </c>
      <c r="K44" s="1025">
        <v>1</v>
      </c>
      <c r="L44" s="1294">
        <v>1</v>
      </c>
      <c r="M44" s="1163">
        <v>1</v>
      </c>
      <c r="N44" s="1168">
        <f t="shared" si="0"/>
        <v>1</v>
      </c>
      <c r="O44" s="1591"/>
      <c r="P44" s="1586"/>
      <c r="Q44" s="1025">
        <v>1</v>
      </c>
      <c r="R44" s="1294">
        <v>1</v>
      </c>
      <c r="S44" s="1017">
        <f t="shared" si="1"/>
        <v>1</v>
      </c>
      <c r="T44" s="1332">
        <f t="shared" si="4"/>
        <v>1</v>
      </c>
      <c r="U44" s="1591"/>
      <c r="V44" s="1586"/>
      <c r="W44" s="1984">
        <v>1</v>
      </c>
      <c r="X44" s="1981">
        <v>1</v>
      </c>
      <c r="Y44" s="1017">
        <f t="shared" si="7"/>
        <v>1</v>
      </c>
      <c r="Z44" s="1332">
        <f t="shared" si="8"/>
        <v>1</v>
      </c>
      <c r="AA44" s="1999"/>
      <c r="AB44" s="2008"/>
      <c r="AC44" s="1974"/>
      <c r="AD44" s="1974"/>
    </row>
    <row r="45" spans="1:30" ht="90.75" customHeight="1" thickBot="1" x14ac:dyDescent="0.3">
      <c r="A45" s="1564"/>
      <c r="B45" s="1039">
        <v>9</v>
      </c>
      <c r="C45" s="941" t="s">
        <v>664</v>
      </c>
      <c r="D45" s="1558"/>
      <c r="E45" s="1039" t="s">
        <v>562</v>
      </c>
      <c r="F45" s="1131" t="s">
        <v>711</v>
      </c>
      <c r="G45" s="1040">
        <v>0.90429999999999999</v>
      </c>
      <c r="H45" s="1041">
        <v>1</v>
      </c>
      <c r="I45" s="1041" t="s">
        <v>39</v>
      </c>
      <c r="J45" s="1042" t="s">
        <v>40</v>
      </c>
      <c r="K45" s="1043">
        <v>0.78600000000000003</v>
      </c>
      <c r="L45" s="1044">
        <v>0.44559551037477346</v>
      </c>
      <c r="M45" s="1042">
        <v>0.56691540760149295</v>
      </c>
      <c r="N45" s="1168">
        <f t="shared" si="0"/>
        <v>0.56691540760149295</v>
      </c>
      <c r="O45" s="1597"/>
      <c r="P45" s="1587"/>
      <c r="Q45" s="1043">
        <v>0.185</v>
      </c>
      <c r="R45" s="1231">
        <v>0.86415883073049449</v>
      </c>
      <c r="S45" s="1017">
        <f t="shared" si="1"/>
        <v>4.6711288147594301</v>
      </c>
      <c r="T45" s="1332">
        <v>1</v>
      </c>
      <c r="U45" s="1592"/>
      <c r="V45" s="1599"/>
      <c r="W45" s="1985">
        <v>296968000</v>
      </c>
      <c r="X45" s="1982"/>
      <c r="Y45" s="1017">
        <f t="shared" si="7"/>
        <v>0</v>
      </c>
      <c r="Z45" s="1332">
        <v>0</v>
      </c>
      <c r="AA45" s="2002"/>
      <c r="AB45" s="2011"/>
      <c r="AC45" s="1974"/>
      <c r="AD45" s="1974"/>
    </row>
    <row r="46" spans="1:30" ht="45" customHeight="1" thickBot="1" x14ac:dyDescent="0.3">
      <c r="A46" s="1554" t="s">
        <v>593</v>
      </c>
      <c r="B46" s="1555">
        <v>10</v>
      </c>
      <c r="C46" s="1555" t="s">
        <v>302</v>
      </c>
      <c r="D46" s="1556">
        <v>0.14000000000000001</v>
      </c>
      <c r="E46" s="1146" t="s">
        <v>563</v>
      </c>
      <c r="F46" s="1407" t="s">
        <v>794</v>
      </c>
      <c r="G46" s="1147">
        <v>4237</v>
      </c>
      <c r="H46" s="1142">
        <v>0.2</v>
      </c>
      <c r="I46" s="1142" t="s">
        <v>42</v>
      </c>
      <c r="J46" s="1161" t="s">
        <v>40</v>
      </c>
      <c r="K46" s="1055">
        <v>890</v>
      </c>
      <c r="L46" s="997">
        <v>602</v>
      </c>
      <c r="M46" s="1137">
        <v>0.67640449438202244</v>
      </c>
      <c r="N46" s="1168">
        <f t="shared" si="0"/>
        <v>0.67640449438202244</v>
      </c>
      <c r="O46" s="1590" t="s">
        <v>757</v>
      </c>
      <c r="P46" s="1594">
        <f>(M46*H46)+(M47*H47)+(M48*H48)+(M49*H49)+(M50*H50)+(M51*H51)+(M52*H52)</f>
        <v>0.63947528826915345</v>
      </c>
      <c r="Q46" s="1055">
        <v>1270</v>
      </c>
      <c r="R46" s="1234">
        <v>869</v>
      </c>
      <c r="S46" s="1017">
        <f t="shared" si="1"/>
        <v>0.68425196850393699</v>
      </c>
      <c r="T46" s="1332">
        <f>+R46/Q46</f>
        <v>0.68425196850393699</v>
      </c>
      <c r="U46" s="1590" t="s">
        <v>757</v>
      </c>
      <c r="V46" s="1594">
        <f>(S46*H46)+(T47*H47)+(T48*H48)+(S49*H49)+(S50*H50)+(T51*H51)+(S52*H52)</f>
        <v>0.73263565211650505</v>
      </c>
      <c r="W46" s="1055">
        <v>1200</v>
      </c>
      <c r="X46" s="1399">
        <v>802</v>
      </c>
      <c r="Y46" s="1017">
        <f t="shared" si="7"/>
        <v>0.66833333333333333</v>
      </c>
      <c r="Z46" s="1332">
        <f>+X46/W46</f>
        <v>0.66833333333333333</v>
      </c>
      <c r="AA46" s="1998" t="s">
        <v>757</v>
      </c>
      <c r="AB46" s="2010">
        <f>(Z46*0.25)+(Z48*0.25)+(Z49*0.15)+(Z50*0.1)+(Z51*0.05)+(Z52*0.2)</f>
        <v>0.86708333333333343</v>
      </c>
      <c r="AC46" s="1975"/>
      <c r="AD46" s="1975"/>
    </row>
    <row r="47" spans="1:30" s="1995" customFormat="1" ht="45.75" thickBot="1" x14ac:dyDescent="0.3">
      <c r="A47" s="1545"/>
      <c r="B47" s="1546"/>
      <c r="C47" s="1546"/>
      <c r="D47" s="1547"/>
      <c r="E47" s="1990" t="s">
        <v>564</v>
      </c>
      <c r="F47" s="1987" t="s">
        <v>462</v>
      </c>
      <c r="G47" s="1987">
        <v>279</v>
      </c>
      <c r="H47" s="1991">
        <v>0.15</v>
      </c>
      <c r="I47" s="1991" t="s">
        <v>42</v>
      </c>
      <c r="J47" s="1992" t="s">
        <v>40</v>
      </c>
      <c r="K47" s="1986">
        <v>150</v>
      </c>
      <c r="L47" s="1987">
        <v>104</v>
      </c>
      <c r="M47" s="1993">
        <v>0.69333333333333336</v>
      </c>
      <c r="N47" s="1994">
        <f t="shared" si="0"/>
        <v>0.69333333333333336</v>
      </c>
      <c r="O47" s="1591"/>
      <c r="P47" s="1595"/>
      <c r="Q47" s="1986">
        <v>220</v>
      </c>
      <c r="R47" s="1987">
        <v>1201</v>
      </c>
      <c r="S47" s="1988">
        <f t="shared" si="1"/>
        <v>5.459090909090909</v>
      </c>
      <c r="T47" s="1989">
        <v>1</v>
      </c>
      <c r="U47" s="1591"/>
      <c r="V47" s="1595"/>
      <c r="W47" s="1986"/>
      <c r="X47" s="1987"/>
      <c r="Y47" s="1988" t="e">
        <f t="shared" si="7"/>
        <v>#DIV/0!</v>
      </c>
      <c r="Z47" s="1989">
        <v>1</v>
      </c>
      <c r="AA47" s="1999"/>
      <c r="AB47" s="2004"/>
      <c r="AC47" s="1973"/>
      <c r="AD47" s="1973"/>
    </row>
    <row r="48" spans="1:30" ht="32.25" thickBot="1" x14ac:dyDescent="0.3">
      <c r="A48" s="1545"/>
      <c r="B48" s="1546"/>
      <c r="C48" s="1546"/>
      <c r="D48" s="1547"/>
      <c r="E48" s="1060" t="s">
        <v>631</v>
      </c>
      <c r="F48" s="594" t="s">
        <v>795</v>
      </c>
      <c r="G48" s="909">
        <v>823</v>
      </c>
      <c r="H48" s="906">
        <v>0.15</v>
      </c>
      <c r="I48" s="906" t="s">
        <v>42</v>
      </c>
      <c r="J48" s="1024" t="s">
        <v>40</v>
      </c>
      <c r="K48" s="1064">
        <v>235</v>
      </c>
      <c r="L48" s="909">
        <v>196</v>
      </c>
      <c r="M48" s="1135">
        <v>0.83404255319148934</v>
      </c>
      <c r="N48" s="1168">
        <f t="shared" si="0"/>
        <v>0.83404255319148934</v>
      </c>
      <c r="O48" s="1591"/>
      <c r="P48" s="1595"/>
      <c r="Q48" s="1064">
        <v>255</v>
      </c>
      <c r="R48" s="909">
        <v>363</v>
      </c>
      <c r="S48" s="1017">
        <f t="shared" si="1"/>
        <v>1.4235294117647059</v>
      </c>
      <c r="T48" s="1332">
        <v>1</v>
      </c>
      <c r="U48" s="1591"/>
      <c r="V48" s="1595"/>
      <c r="W48" s="1064">
        <v>638</v>
      </c>
      <c r="X48" s="909">
        <v>765</v>
      </c>
      <c r="Y48" s="1017">
        <f t="shared" si="7"/>
        <v>1.1990595611285266</v>
      </c>
      <c r="Z48" s="1332">
        <v>1</v>
      </c>
      <c r="AA48" s="1999"/>
      <c r="AB48" s="2004"/>
      <c r="AC48" s="1973"/>
      <c r="AD48" s="1973"/>
    </row>
    <row r="49" spans="1:30" ht="16.5" thickBot="1" x14ac:dyDescent="0.3">
      <c r="A49" s="1545"/>
      <c r="B49" s="1546"/>
      <c r="C49" s="1546"/>
      <c r="D49" s="1547"/>
      <c r="E49" s="1060" t="s">
        <v>632</v>
      </c>
      <c r="F49" s="594" t="s">
        <v>791</v>
      </c>
      <c r="G49" s="1066">
        <v>737</v>
      </c>
      <c r="H49" s="906">
        <v>0.15</v>
      </c>
      <c r="I49" s="906" t="s">
        <v>42</v>
      </c>
      <c r="J49" s="1024" t="s">
        <v>40</v>
      </c>
      <c r="K49" s="1064">
        <v>178</v>
      </c>
      <c r="L49" s="909">
        <v>109</v>
      </c>
      <c r="M49" s="1135">
        <v>0.61235955056179781</v>
      </c>
      <c r="N49" s="1168">
        <f t="shared" si="0"/>
        <v>0.61235955056179781</v>
      </c>
      <c r="O49" s="1591"/>
      <c r="P49" s="1595"/>
      <c r="Q49" s="1064">
        <v>180</v>
      </c>
      <c r="R49" s="909">
        <v>172</v>
      </c>
      <c r="S49" s="1017">
        <f t="shared" si="1"/>
        <v>0.9555555555555556</v>
      </c>
      <c r="T49" s="1332">
        <f>+R49/Q49</f>
        <v>0.9555555555555556</v>
      </c>
      <c r="U49" s="1591"/>
      <c r="V49" s="1595"/>
      <c r="W49" s="1064">
        <v>2307</v>
      </c>
      <c r="X49" s="909">
        <v>3433</v>
      </c>
      <c r="Y49" s="1017">
        <f t="shared" si="7"/>
        <v>1.4880797572605116</v>
      </c>
      <c r="Z49" s="1332">
        <v>1</v>
      </c>
      <c r="AA49" s="1999"/>
      <c r="AB49" s="2004"/>
      <c r="AC49" s="1973"/>
      <c r="AD49" s="1973"/>
    </row>
    <row r="50" spans="1:30" ht="32.25" thickBot="1" x14ac:dyDescent="0.3">
      <c r="A50" s="1545"/>
      <c r="B50" s="1546"/>
      <c r="C50" s="1546"/>
      <c r="D50" s="1547"/>
      <c r="E50" s="1060" t="s">
        <v>753</v>
      </c>
      <c r="F50" s="594" t="s">
        <v>792</v>
      </c>
      <c r="G50" s="909">
        <v>974</v>
      </c>
      <c r="H50" s="906">
        <v>0.1</v>
      </c>
      <c r="I50" s="906" t="s">
        <v>42</v>
      </c>
      <c r="J50" s="1024" t="s">
        <v>40</v>
      </c>
      <c r="K50" s="1064">
        <v>387</v>
      </c>
      <c r="L50" s="909">
        <v>232</v>
      </c>
      <c r="M50" s="1135">
        <v>0.59948320413436695</v>
      </c>
      <c r="N50" s="1168">
        <f t="shared" si="0"/>
        <v>0.59948320413436695</v>
      </c>
      <c r="O50" s="1591"/>
      <c r="P50" s="1595"/>
      <c r="Q50" s="1064">
        <v>393</v>
      </c>
      <c r="R50" s="909">
        <v>242</v>
      </c>
      <c r="S50" s="1017">
        <f t="shared" si="1"/>
        <v>0.61577608142493634</v>
      </c>
      <c r="T50" s="1332">
        <f>+R50/Q50</f>
        <v>0.61577608142493634</v>
      </c>
      <c r="U50" s="1591"/>
      <c r="V50" s="1595"/>
      <c r="W50" s="1064">
        <v>103</v>
      </c>
      <c r="X50" s="909">
        <v>266</v>
      </c>
      <c r="Y50" s="1017">
        <f t="shared" si="7"/>
        <v>2.5825242718446604</v>
      </c>
      <c r="Z50" s="1332">
        <v>1</v>
      </c>
      <c r="AA50" s="1999"/>
      <c r="AB50" s="2004"/>
      <c r="AC50" s="1973"/>
      <c r="AD50" s="1973"/>
    </row>
    <row r="51" spans="1:30" ht="32.25" thickBot="1" x14ac:dyDescent="0.3">
      <c r="A51" s="1545"/>
      <c r="B51" s="1546"/>
      <c r="C51" s="1546"/>
      <c r="D51" s="1547"/>
      <c r="E51" s="1060" t="s">
        <v>754</v>
      </c>
      <c r="F51" s="594" t="s">
        <v>458</v>
      </c>
      <c r="G51" s="909">
        <v>60</v>
      </c>
      <c r="H51" s="906">
        <v>0.05</v>
      </c>
      <c r="I51" s="906" t="s">
        <v>42</v>
      </c>
      <c r="J51" s="1024" t="s">
        <v>40</v>
      </c>
      <c r="K51" s="1064">
        <v>29</v>
      </c>
      <c r="L51" s="909">
        <v>24</v>
      </c>
      <c r="M51" s="1135">
        <v>0.82758620689655171</v>
      </c>
      <c r="N51" s="1168">
        <f t="shared" si="0"/>
        <v>0.82758620689655171</v>
      </c>
      <c r="O51" s="1591"/>
      <c r="P51" s="1595"/>
      <c r="Q51" s="1064">
        <v>27</v>
      </c>
      <c r="R51" s="909">
        <v>32</v>
      </c>
      <c r="S51" s="1017">
        <f t="shared" si="1"/>
        <v>1.1851851851851851</v>
      </c>
      <c r="T51" s="1332">
        <v>1</v>
      </c>
      <c r="U51" s="1591"/>
      <c r="V51" s="1595"/>
      <c r="W51" s="1064">
        <v>27</v>
      </c>
      <c r="X51" s="909">
        <v>0</v>
      </c>
      <c r="Y51" s="1017">
        <f t="shared" si="7"/>
        <v>0</v>
      </c>
      <c r="Z51" s="1332">
        <v>0</v>
      </c>
      <c r="AA51" s="1999"/>
      <c r="AB51" s="2004"/>
      <c r="AC51" s="1973"/>
      <c r="AD51" s="1973"/>
    </row>
    <row r="52" spans="1:30" ht="32.25" thickBot="1" x14ac:dyDescent="0.3">
      <c r="A52" s="1534"/>
      <c r="B52" s="1536"/>
      <c r="C52" s="1536"/>
      <c r="D52" s="1538"/>
      <c r="E52" s="1067" t="s">
        <v>755</v>
      </c>
      <c r="F52" s="625" t="s">
        <v>793</v>
      </c>
      <c r="G52" s="1069">
        <v>13762</v>
      </c>
      <c r="H52" s="929">
        <v>0.2</v>
      </c>
      <c r="I52" s="929" t="s">
        <v>42</v>
      </c>
      <c r="J52" s="1132" t="s">
        <v>40</v>
      </c>
      <c r="K52" s="1070">
        <v>1133</v>
      </c>
      <c r="L52" s="928">
        <v>464</v>
      </c>
      <c r="M52" s="1136">
        <v>0.4095322153574581</v>
      </c>
      <c r="N52" s="1168">
        <f t="shared" si="0"/>
        <v>0.4095322153574581</v>
      </c>
      <c r="O52" s="1592"/>
      <c r="P52" s="1596"/>
      <c r="Q52" s="1070">
        <v>2745</v>
      </c>
      <c r="R52" s="928">
        <v>561</v>
      </c>
      <c r="S52" s="1017">
        <f t="shared" si="1"/>
        <v>0.20437158469945355</v>
      </c>
      <c r="T52" s="1332">
        <f>+R52/Q52</f>
        <v>0.20437158469945355</v>
      </c>
      <c r="U52" s="1592"/>
      <c r="V52" s="1596"/>
      <c r="W52" s="1070">
        <v>518</v>
      </c>
      <c r="X52" s="928">
        <v>1980</v>
      </c>
      <c r="Y52" s="1017">
        <f t="shared" si="7"/>
        <v>3.8223938223938223</v>
      </c>
      <c r="Z52" s="1332">
        <v>1</v>
      </c>
      <c r="AA52" s="2000"/>
      <c r="AB52" s="2005"/>
      <c r="AC52" s="1973"/>
      <c r="AD52" s="1973"/>
    </row>
    <row r="53" spans="1:30" ht="63.75" thickBot="1" x14ac:dyDescent="0.3">
      <c r="A53" s="967" t="s">
        <v>594</v>
      </c>
      <c r="B53" s="968">
        <v>11</v>
      </c>
      <c r="C53" s="968" t="s">
        <v>304</v>
      </c>
      <c r="D53" s="969">
        <v>1.4999999999999999E-2</v>
      </c>
      <c r="E53" s="1073" t="s">
        <v>565</v>
      </c>
      <c r="F53" s="1074" t="s">
        <v>474</v>
      </c>
      <c r="G53" s="971">
        <v>7</v>
      </c>
      <c r="H53" s="972">
        <v>1</v>
      </c>
      <c r="I53" s="972" t="s">
        <v>42</v>
      </c>
      <c r="J53" s="1133" t="s">
        <v>40</v>
      </c>
      <c r="K53" s="1075">
        <v>1</v>
      </c>
      <c r="L53" s="971">
        <v>4</v>
      </c>
      <c r="M53" s="1138">
        <v>4</v>
      </c>
      <c r="N53" s="1168">
        <v>1</v>
      </c>
      <c r="O53" s="1165" t="s">
        <v>187</v>
      </c>
      <c r="P53" s="1169">
        <f>(N53*H53)</f>
        <v>1</v>
      </c>
      <c r="Q53" s="1075">
        <v>3</v>
      </c>
      <c r="R53" s="1233">
        <v>1</v>
      </c>
      <c r="S53" s="1017">
        <f t="shared" si="1"/>
        <v>0.33333333333333331</v>
      </c>
      <c r="T53" s="1332">
        <f>+R53/Q53</f>
        <v>0.33333333333333331</v>
      </c>
      <c r="U53" s="1165" t="s">
        <v>187</v>
      </c>
      <c r="V53" s="1169">
        <f>(S53*H53)</f>
        <v>0.33333333333333331</v>
      </c>
      <c r="W53" s="1075">
        <v>3</v>
      </c>
      <c r="X53" s="1398">
        <v>2</v>
      </c>
      <c r="Y53" s="1017">
        <f t="shared" si="7"/>
        <v>0.66666666666666663</v>
      </c>
      <c r="Z53" s="1332">
        <f>+X53/W53</f>
        <v>0.66666666666666663</v>
      </c>
      <c r="AA53" s="2001" t="s">
        <v>187</v>
      </c>
      <c r="AB53" s="2012">
        <f>(Y53*H53)</f>
        <v>0.66666666666666663</v>
      </c>
      <c r="AC53" s="1976"/>
      <c r="AD53" s="1976"/>
    </row>
    <row r="54" spans="1:30" ht="71.25" customHeight="1" thickBot="1" x14ac:dyDescent="0.3">
      <c r="A54" s="967" t="s">
        <v>593</v>
      </c>
      <c r="B54" s="968">
        <v>12</v>
      </c>
      <c r="C54" s="968" t="s">
        <v>272</v>
      </c>
      <c r="D54" s="969">
        <v>1.4999999999999999E-2</v>
      </c>
      <c r="E54" s="1073" t="s">
        <v>567</v>
      </c>
      <c r="F54" s="1074" t="s">
        <v>477</v>
      </c>
      <c r="G54" s="1081">
        <v>104401</v>
      </c>
      <c r="H54" s="972">
        <v>1</v>
      </c>
      <c r="I54" s="972" t="s">
        <v>42</v>
      </c>
      <c r="J54" s="1133" t="s">
        <v>40</v>
      </c>
      <c r="K54" s="1075">
        <v>24623</v>
      </c>
      <c r="L54" s="971">
        <v>2729</v>
      </c>
      <c r="M54" s="1138">
        <v>0.11083133655525322</v>
      </c>
      <c r="N54" s="1168">
        <f t="shared" si="0"/>
        <v>0.11083133655525322</v>
      </c>
      <c r="O54" s="1165" t="s">
        <v>757</v>
      </c>
      <c r="P54" s="1170">
        <f>(M54*H54)</f>
        <v>0.11083133655525322</v>
      </c>
      <c r="Q54" s="1075">
        <v>39416</v>
      </c>
      <c r="R54" s="1233">
        <v>26228</v>
      </c>
      <c r="S54" s="1017">
        <f t="shared" si="1"/>
        <v>0.66541505987416283</v>
      </c>
      <c r="T54" s="1332">
        <f>+R54/Q54</f>
        <v>0.66541505987416283</v>
      </c>
      <c r="U54" s="1165" t="s">
        <v>757</v>
      </c>
      <c r="V54" s="1169">
        <f>(S54*H54)</f>
        <v>0.66541505987416283</v>
      </c>
      <c r="W54" s="1075">
        <v>47122</v>
      </c>
      <c r="X54" s="1398">
        <v>32622</v>
      </c>
      <c r="Y54" s="1017">
        <f t="shared" si="7"/>
        <v>0.6922881032214252</v>
      </c>
      <c r="Z54" s="1332">
        <f>+X54/W54</f>
        <v>0.6922881032214252</v>
      </c>
      <c r="AA54" s="2001" t="s">
        <v>757</v>
      </c>
      <c r="AB54" s="2012">
        <f>(Y54*H54)</f>
        <v>0.6922881032214252</v>
      </c>
      <c r="AC54" s="1976"/>
      <c r="AD54" s="1976"/>
    </row>
    <row r="55" spans="1:30" ht="30" customHeight="1" thickBot="1" x14ac:dyDescent="0.3">
      <c r="A55" s="1533" t="s">
        <v>594</v>
      </c>
      <c r="B55" s="1535">
        <v>13</v>
      </c>
      <c r="C55" s="1535" t="s">
        <v>273</v>
      </c>
      <c r="D55" s="1537">
        <v>0.06</v>
      </c>
      <c r="E55" s="1053" t="s">
        <v>567</v>
      </c>
      <c r="F55" s="1082" t="s">
        <v>295</v>
      </c>
      <c r="G55" s="893">
        <v>2</v>
      </c>
      <c r="H55" s="986">
        <v>0.25</v>
      </c>
      <c r="I55" s="890" t="s">
        <v>42</v>
      </c>
      <c r="J55" s="1017" t="s">
        <v>40</v>
      </c>
      <c r="K55" s="1083">
        <v>0.24</v>
      </c>
      <c r="L55" s="893">
        <v>0.24</v>
      </c>
      <c r="M55" s="1134">
        <v>1</v>
      </c>
      <c r="N55" s="1168">
        <f t="shared" si="0"/>
        <v>1</v>
      </c>
      <c r="O55" s="1590" t="s">
        <v>757</v>
      </c>
      <c r="P55" s="1594">
        <f>(M55*H55)+(N56*H56)+(M57*H57)+(M58*H58)</f>
        <v>0.97916666666666663</v>
      </c>
      <c r="Q55" s="1083">
        <v>0.24</v>
      </c>
      <c r="R55" s="893">
        <v>0.24</v>
      </c>
      <c r="S55" s="1017">
        <f t="shared" si="1"/>
        <v>1</v>
      </c>
      <c r="T55" s="1332">
        <f>+R55/Q55</f>
        <v>1</v>
      </c>
      <c r="U55" s="1590" t="s">
        <v>757</v>
      </c>
      <c r="V55" s="1594">
        <f>(S55*H55)+(T56*H56)+(S57*H57)+(S58*H58)</f>
        <v>0.875</v>
      </c>
      <c r="W55" s="1083">
        <v>0.26</v>
      </c>
      <c r="X55" s="893">
        <v>0.24</v>
      </c>
      <c r="Y55" s="1017">
        <f t="shared" si="7"/>
        <v>0.92307692307692302</v>
      </c>
      <c r="Z55" s="1332">
        <f>+X55/W55</f>
        <v>0.92307692307692302</v>
      </c>
      <c r="AA55" s="1998" t="s">
        <v>757</v>
      </c>
      <c r="AB55" s="2010">
        <f>(Z55*H55)+(Z56*H56)+(Z57*H57)+(Z58*H58)</f>
        <v>0.98076923076923073</v>
      </c>
      <c r="AC55" s="1975"/>
      <c r="AD55" s="1975"/>
    </row>
    <row r="56" spans="1:30" ht="45.75" thickBot="1" x14ac:dyDescent="0.3">
      <c r="A56" s="1545"/>
      <c r="B56" s="1546"/>
      <c r="C56" s="1546"/>
      <c r="D56" s="1547"/>
      <c r="E56" s="1060" t="s">
        <v>568</v>
      </c>
      <c r="F56" s="909" t="s">
        <v>459</v>
      </c>
      <c r="G56" s="909">
        <v>16</v>
      </c>
      <c r="H56" s="906">
        <v>0.25</v>
      </c>
      <c r="I56" s="906" t="s">
        <v>42</v>
      </c>
      <c r="J56" s="1024" t="s">
        <v>40</v>
      </c>
      <c r="K56" s="1064">
        <v>3</v>
      </c>
      <c r="L56" s="909">
        <v>5</v>
      </c>
      <c r="M56" s="1135">
        <v>1.6666666666666667</v>
      </c>
      <c r="N56" s="1168">
        <v>1</v>
      </c>
      <c r="O56" s="1591"/>
      <c r="P56" s="1595"/>
      <c r="Q56" s="1064">
        <v>5</v>
      </c>
      <c r="R56" s="909">
        <v>15</v>
      </c>
      <c r="S56" s="1017">
        <f t="shared" si="1"/>
        <v>3</v>
      </c>
      <c r="T56" s="1332">
        <v>1</v>
      </c>
      <c r="U56" s="1591"/>
      <c r="V56" s="1595"/>
      <c r="W56" s="1064">
        <v>29</v>
      </c>
      <c r="X56" s="909">
        <v>29</v>
      </c>
      <c r="Y56" s="1017">
        <f t="shared" si="7"/>
        <v>1</v>
      </c>
      <c r="Z56" s="1332">
        <v>1</v>
      </c>
      <c r="AA56" s="1999"/>
      <c r="AB56" s="2004"/>
      <c r="AC56" s="1973"/>
      <c r="AD56" s="1973"/>
    </row>
    <row r="57" spans="1:30" ht="16.5" thickBot="1" x14ac:dyDescent="0.3">
      <c r="A57" s="1545"/>
      <c r="B57" s="1546"/>
      <c r="C57" s="1546"/>
      <c r="D57" s="1547"/>
      <c r="E57" s="1060" t="s">
        <v>726</v>
      </c>
      <c r="F57" s="909" t="s">
        <v>483</v>
      </c>
      <c r="G57" s="909">
        <v>130</v>
      </c>
      <c r="H57" s="906">
        <v>0.25</v>
      </c>
      <c r="I57" s="906" t="s">
        <v>42</v>
      </c>
      <c r="J57" s="1024" t="s">
        <v>40</v>
      </c>
      <c r="K57" s="1064">
        <v>60</v>
      </c>
      <c r="L57" s="909">
        <v>55</v>
      </c>
      <c r="M57" s="1135">
        <v>0.91666666666666663</v>
      </c>
      <c r="N57" s="1168">
        <f t="shared" si="0"/>
        <v>0.91666666666666663</v>
      </c>
      <c r="O57" s="1591"/>
      <c r="P57" s="1595"/>
      <c r="Q57" s="1064">
        <v>314</v>
      </c>
      <c r="R57" s="909">
        <v>157</v>
      </c>
      <c r="S57" s="1017">
        <f t="shared" si="1"/>
        <v>0.5</v>
      </c>
      <c r="T57" s="1332">
        <f t="shared" ref="T57:T63" si="9">+R57/Q57</f>
        <v>0.5</v>
      </c>
      <c r="U57" s="1591"/>
      <c r="V57" s="1595"/>
      <c r="W57" s="1064">
        <v>313</v>
      </c>
      <c r="X57" s="909">
        <v>692</v>
      </c>
      <c r="Y57" s="1017">
        <f t="shared" si="7"/>
        <v>2.2108626198083066</v>
      </c>
      <c r="Z57" s="1332">
        <v>1</v>
      </c>
      <c r="AA57" s="1999"/>
      <c r="AB57" s="2004"/>
      <c r="AC57" s="1973"/>
      <c r="AD57" s="1973"/>
    </row>
    <row r="58" spans="1:30" ht="30.75" thickBot="1" x14ac:dyDescent="0.3">
      <c r="A58" s="1534"/>
      <c r="B58" s="1536"/>
      <c r="C58" s="1536"/>
      <c r="D58" s="1538"/>
      <c r="E58" s="1067" t="s">
        <v>727</v>
      </c>
      <c r="F58" s="928" t="s">
        <v>460</v>
      </c>
      <c r="G58" s="928">
        <v>69</v>
      </c>
      <c r="H58" s="929">
        <v>0.25</v>
      </c>
      <c r="I58" s="929" t="s">
        <v>39</v>
      </c>
      <c r="J58" s="1132" t="s">
        <v>106</v>
      </c>
      <c r="K58" s="1150">
        <v>1</v>
      </c>
      <c r="L58" s="1044">
        <v>1</v>
      </c>
      <c r="M58" s="1139">
        <v>1</v>
      </c>
      <c r="N58" s="1168">
        <f t="shared" si="0"/>
        <v>1</v>
      </c>
      <c r="O58" s="1592"/>
      <c r="P58" s="1596"/>
      <c r="Q58" s="1150">
        <v>1</v>
      </c>
      <c r="R58" s="1231">
        <v>1</v>
      </c>
      <c r="S58" s="1017">
        <f t="shared" si="1"/>
        <v>1</v>
      </c>
      <c r="T58" s="1332">
        <f t="shared" si="9"/>
        <v>1</v>
      </c>
      <c r="U58" s="1592"/>
      <c r="V58" s="1596"/>
      <c r="W58" s="1150">
        <v>1</v>
      </c>
      <c r="X58" s="1396">
        <v>1</v>
      </c>
      <c r="Y58" s="1017">
        <f t="shared" si="7"/>
        <v>1</v>
      </c>
      <c r="Z58" s="1332">
        <f t="shared" ref="Z58:Z61" si="10">+X58/W58</f>
        <v>1</v>
      </c>
      <c r="AA58" s="2000"/>
      <c r="AB58" s="2005"/>
      <c r="AC58" s="1973"/>
      <c r="AD58" s="1973"/>
    </row>
    <row r="59" spans="1:30" ht="31.5" customHeight="1" thickBot="1" x14ac:dyDescent="0.3">
      <c r="A59" s="1533" t="s">
        <v>594</v>
      </c>
      <c r="B59" s="1535">
        <v>14</v>
      </c>
      <c r="C59" s="1535" t="s">
        <v>278</v>
      </c>
      <c r="D59" s="1537">
        <v>0.03</v>
      </c>
      <c r="E59" s="1053" t="s">
        <v>569</v>
      </c>
      <c r="F59" s="830" t="s">
        <v>728</v>
      </c>
      <c r="G59" s="825">
        <v>1</v>
      </c>
      <c r="H59" s="832">
        <v>0.5</v>
      </c>
      <c r="I59" s="832" t="s">
        <v>42</v>
      </c>
      <c r="J59" s="218" t="s">
        <v>106</v>
      </c>
      <c r="K59" s="1151">
        <v>1</v>
      </c>
      <c r="L59" s="946">
        <v>1</v>
      </c>
      <c r="M59" s="1134">
        <v>1</v>
      </c>
      <c r="N59" s="1168">
        <f t="shared" si="0"/>
        <v>1</v>
      </c>
      <c r="O59" s="1590" t="s">
        <v>187</v>
      </c>
      <c r="P59" s="1594">
        <f>(M59*H59)+(M60*H60)+(M61*H61)</f>
        <v>1</v>
      </c>
      <c r="Q59" s="1151">
        <v>1</v>
      </c>
      <c r="R59" s="1229">
        <v>1</v>
      </c>
      <c r="S59" s="1017">
        <f t="shared" si="1"/>
        <v>1</v>
      </c>
      <c r="T59" s="1332">
        <f t="shared" si="9"/>
        <v>1</v>
      </c>
      <c r="U59" s="1590" t="s">
        <v>187</v>
      </c>
      <c r="V59" s="1594">
        <f>(S59*H59)+(S60*H60)+(S61*H61)</f>
        <v>1</v>
      </c>
      <c r="W59" s="1151">
        <v>1</v>
      </c>
      <c r="X59" s="1394">
        <v>1</v>
      </c>
      <c r="Y59" s="1017">
        <f t="shared" si="7"/>
        <v>1</v>
      </c>
      <c r="Z59" s="1332">
        <f t="shared" si="10"/>
        <v>1</v>
      </c>
      <c r="AA59" s="1998" t="s">
        <v>187</v>
      </c>
      <c r="AB59" s="2010">
        <f>(Y59*H59)+(Y60*H60)+(Y61*H61)</f>
        <v>1</v>
      </c>
      <c r="AC59" s="1975"/>
      <c r="AD59" s="1975"/>
    </row>
    <row r="60" spans="1:30" ht="45.75" thickBot="1" x14ac:dyDescent="0.3">
      <c r="A60" s="1534"/>
      <c r="B60" s="1536"/>
      <c r="C60" s="1536"/>
      <c r="D60" s="1538"/>
      <c r="E60" s="1067" t="s">
        <v>570</v>
      </c>
      <c r="F60" s="909" t="s">
        <v>303</v>
      </c>
      <c r="G60" s="909">
        <v>2923</v>
      </c>
      <c r="H60" s="906">
        <v>0.3</v>
      </c>
      <c r="I60" s="906" t="s">
        <v>39</v>
      </c>
      <c r="J60" s="1024" t="s">
        <v>106</v>
      </c>
      <c r="K60" s="1088">
        <v>1</v>
      </c>
      <c r="L60" s="923">
        <v>1</v>
      </c>
      <c r="M60" s="1135">
        <v>1</v>
      </c>
      <c r="N60" s="1168">
        <f t="shared" si="0"/>
        <v>1</v>
      </c>
      <c r="O60" s="1591"/>
      <c r="P60" s="1595"/>
      <c r="Q60" s="1088">
        <v>1</v>
      </c>
      <c r="R60" s="1232">
        <v>1</v>
      </c>
      <c r="S60" s="1017">
        <f t="shared" si="1"/>
        <v>1</v>
      </c>
      <c r="T60" s="1332">
        <f t="shared" si="9"/>
        <v>1</v>
      </c>
      <c r="U60" s="1591"/>
      <c r="V60" s="1595"/>
      <c r="W60" s="1088">
        <v>1</v>
      </c>
      <c r="X60" s="1397">
        <v>1</v>
      </c>
      <c r="Y60" s="1017">
        <f t="shared" si="7"/>
        <v>1</v>
      </c>
      <c r="Z60" s="1332">
        <f t="shared" si="10"/>
        <v>1</v>
      </c>
      <c r="AA60" s="1999"/>
      <c r="AB60" s="2004"/>
      <c r="AC60" s="1973"/>
      <c r="AD60" s="1973"/>
    </row>
    <row r="61" spans="1:30" ht="45.75" thickBot="1" x14ac:dyDescent="0.3">
      <c r="A61" s="1564"/>
      <c r="B61" s="1562"/>
      <c r="C61" s="1562"/>
      <c r="D61" s="1563"/>
      <c r="E61" s="1149" t="s">
        <v>570</v>
      </c>
      <c r="F61" s="941" t="s">
        <v>305</v>
      </c>
      <c r="G61" s="941">
        <v>365</v>
      </c>
      <c r="H61" s="1041">
        <v>0.2</v>
      </c>
      <c r="I61" s="1041" t="s">
        <v>39</v>
      </c>
      <c r="J61" s="1042" t="s">
        <v>106</v>
      </c>
      <c r="K61" s="1150">
        <v>1</v>
      </c>
      <c r="L61" s="1044">
        <v>1</v>
      </c>
      <c r="M61" s="1139">
        <v>1</v>
      </c>
      <c r="N61" s="1168">
        <f t="shared" si="0"/>
        <v>1</v>
      </c>
      <c r="O61" s="1592"/>
      <c r="P61" s="1596"/>
      <c r="Q61" s="1150">
        <v>1</v>
      </c>
      <c r="R61" s="1231">
        <v>1</v>
      </c>
      <c r="S61" s="1017">
        <f t="shared" si="1"/>
        <v>1</v>
      </c>
      <c r="T61" s="1332">
        <f t="shared" si="9"/>
        <v>1</v>
      </c>
      <c r="U61" s="1592"/>
      <c r="V61" s="1596"/>
      <c r="W61" s="1150">
        <v>1</v>
      </c>
      <c r="X61" s="1396">
        <v>1</v>
      </c>
      <c r="Y61" s="1017">
        <f t="shared" si="7"/>
        <v>1</v>
      </c>
      <c r="Z61" s="1332">
        <f t="shared" si="10"/>
        <v>1</v>
      </c>
      <c r="AA61" s="2000"/>
      <c r="AB61" s="2005"/>
      <c r="AC61" s="1973"/>
      <c r="AD61" s="1973"/>
    </row>
    <row r="62" spans="1:30" ht="45.75" thickBot="1" x14ac:dyDescent="0.3">
      <c r="A62" s="1533" t="s">
        <v>593</v>
      </c>
      <c r="B62" s="888">
        <v>15</v>
      </c>
      <c r="C62" s="888" t="s">
        <v>231</v>
      </c>
      <c r="D62" s="1537">
        <v>0.03</v>
      </c>
      <c r="E62" s="1053" t="s">
        <v>576</v>
      </c>
      <c r="F62" s="1082" t="s">
        <v>491</v>
      </c>
      <c r="G62" s="1054">
        <v>53668</v>
      </c>
      <c r="H62" s="890">
        <v>0.8</v>
      </c>
      <c r="I62" s="890" t="s">
        <v>42</v>
      </c>
      <c r="J62" s="1017" t="s">
        <v>40</v>
      </c>
      <c r="K62" s="1154">
        <v>20829</v>
      </c>
      <c r="L62" s="997">
        <v>16494</v>
      </c>
      <c r="M62" s="1137">
        <v>0.79187671035575402</v>
      </c>
      <c r="N62" s="1168">
        <f t="shared" si="0"/>
        <v>0.79187671035575402</v>
      </c>
      <c r="O62" s="1590" t="s">
        <v>757</v>
      </c>
      <c r="P62" s="1594">
        <f>(M62*H62)+(M63*H63)</f>
        <v>0.81093327489938927</v>
      </c>
      <c r="Q62" s="1154">
        <v>20829</v>
      </c>
      <c r="R62" s="1234">
        <v>9945</v>
      </c>
      <c r="S62" s="1017">
        <f t="shared" si="1"/>
        <v>0.47745931153679966</v>
      </c>
      <c r="T62" s="1332">
        <f t="shared" si="9"/>
        <v>0.47745931153679966</v>
      </c>
      <c r="U62" s="1590" t="s">
        <v>757</v>
      </c>
      <c r="V62" s="1594">
        <f>(S62*H62)+(S63*H63)</f>
        <v>0.412231175991221</v>
      </c>
      <c r="W62" s="1154">
        <v>20829</v>
      </c>
      <c r="X62" s="1399">
        <v>23512</v>
      </c>
      <c r="Y62" s="1017">
        <f t="shared" si="7"/>
        <v>1.1288107926448701</v>
      </c>
      <c r="Z62" s="1332">
        <v>1</v>
      </c>
      <c r="AA62" s="1998" t="s">
        <v>757</v>
      </c>
      <c r="AB62" s="2010">
        <v>1</v>
      </c>
      <c r="AC62" s="1975"/>
      <c r="AD62" s="1975"/>
    </row>
    <row r="63" spans="1:30" ht="60.75" thickBot="1" x14ac:dyDescent="0.3">
      <c r="A63" s="1534"/>
      <c r="B63" s="933">
        <v>16</v>
      </c>
      <c r="C63" s="933" t="s">
        <v>232</v>
      </c>
      <c r="D63" s="1538"/>
      <c r="E63" s="1067" t="s">
        <v>578</v>
      </c>
      <c r="F63" s="1068" t="s">
        <v>799</v>
      </c>
      <c r="G63" s="1069">
        <v>9372</v>
      </c>
      <c r="H63" s="929">
        <v>0.2</v>
      </c>
      <c r="I63" s="929" t="s">
        <v>42</v>
      </c>
      <c r="J63" s="1132" t="s">
        <v>40</v>
      </c>
      <c r="K63" s="1070">
        <v>2313</v>
      </c>
      <c r="L63" s="928">
        <v>2052</v>
      </c>
      <c r="M63" s="1136">
        <v>0.88715953307392992</v>
      </c>
      <c r="N63" s="1168">
        <f t="shared" si="0"/>
        <v>0.88715953307392992</v>
      </c>
      <c r="O63" s="1592"/>
      <c r="P63" s="1596"/>
      <c r="Q63" s="1070">
        <v>2313</v>
      </c>
      <c r="R63" s="928">
        <v>350</v>
      </c>
      <c r="S63" s="1017">
        <f t="shared" si="1"/>
        <v>0.15131863380890617</v>
      </c>
      <c r="T63" s="1332">
        <f t="shared" si="9"/>
        <v>0.15131863380890617</v>
      </c>
      <c r="U63" s="1592"/>
      <c r="V63" s="1596"/>
      <c r="W63" s="1070">
        <v>585</v>
      </c>
      <c r="X63" s="928">
        <v>1562</v>
      </c>
      <c r="Y63" s="1017">
        <f t="shared" si="7"/>
        <v>2.6700854700854699</v>
      </c>
      <c r="Z63" s="1332">
        <v>1</v>
      </c>
      <c r="AA63" s="2000"/>
      <c r="AB63" s="2005"/>
      <c r="AC63" s="1973"/>
      <c r="AD63" s="1973"/>
    </row>
    <row r="64" spans="1:30" ht="45" customHeight="1" thickBot="1" x14ac:dyDescent="0.3">
      <c r="A64" s="1533" t="s">
        <v>594</v>
      </c>
      <c r="B64" s="1570">
        <v>17</v>
      </c>
      <c r="C64" s="1535" t="s">
        <v>735</v>
      </c>
      <c r="D64" s="1537">
        <v>0.08</v>
      </c>
      <c r="E64" s="1091" t="s">
        <v>580</v>
      </c>
      <c r="F64" s="893" t="s">
        <v>654</v>
      </c>
      <c r="G64" s="1054">
        <v>6829</v>
      </c>
      <c r="H64" s="890">
        <v>0.2</v>
      </c>
      <c r="I64" s="890" t="s">
        <v>42</v>
      </c>
      <c r="J64" s="1017" t="s">
        <v>40</v>
      </c>
      <c r="K64" s="995">
        <v>50</v>
      </c>
      <c r="L64" s="893">
        <v>0</v>
      </c>
      <c r="M64" s="1134">
        <v>0</v>
      </c>
      <c r="N64" s="1168">
        <f t="shared" si="0"/>
        <v>0</v>
      </c>
      <c r="O64" s="1590" t="s">
        <v>184</v>
      </c>
      <c r="P64" s="1594">
        <f>(M64*H64)+(M65*H65)+(N66*H66)+(M67*H67)+(M68*H68)</f>
        <v>0.39780000000000004</v>
      </c>
      <c r="Q64" s="995">
        <v>250</v>
      </c>
      <c r="R64" s="893">
        <v>517</v>
      </c>
      <c r="S64" s="1017">
        <f t="shared" si="1"/>
        <v>2.0680000000000001</v>
      </c>
      <c r="T64" s="1332">
        <v>1</v>
      </c>
      <c r="U64" s="1590" t="s">
        <v>184</v>
      </c>
      <c r="V64" s="1594">
        <f>(T64*H64)+(T65*H65)+(T66*H66)+(T67*H67)+(S68*H68)</f>
        <v>1</v>
      </c>
      <c r="W64" s="995">
        <v>2164</v>
      </c>
      <c r="X64" s="893">
        <v>2164</v>
      </c>
      <c r="Y64" s="1017">
        <f t="shared" si="7"/>
        <v>1</v>
      </c>
      <c r="Z64" s="1332">
        <v>1</v>
      </c>
      <c r="AA64" s="1998" t="s">
        <v>184</v>
      </c>
      <c r="AB64" s="2010">
        <v>1</v>
      </c>
      <c r="AC64" s="1975"/>
      <c r="AD64" s="1975"/>
    </row>
    <row r="65" spans="1:30" ht="30.75" thickBot="1" x14ac:dyDescent="0.3">
      <c r="A65" s="1545"/>
      <c r="B65" s="1571"/>
      <c r="C65" s="1546"/>
      <c r="D65" s="1547"/>
      <c r="E65" s="920" t="s">
        <v>581</v>
      </c>
      <c r="F65" s="909" t="s">
        <v>655</v>
      </c>
      <c r="G65" s="1066">
        <v>1493</v>
      </c>
      <c r="H65" s="906">
        <v>0.2</v>
      </c>
      <c r="I65" s="906" t="s">
        <v>42</v>
      </c>
      <c r="J65" s="1024" t="s">
        <v>40</v>
      </c>
      <c r="K65" s="1001">
        <v>50</v>
      </c>
      <c r="L65" s="909">
        <v>0</v>
      </c>
      <c r="M65" s="1135">
        <v>0</v>
      </c>
      <c r="N65" s="1168">
        <f t="shared" si="0"/>
        <v>0</v>
      </c>
      <c r="O65" s="1591"/>
      <c r="P65" s="1595"/>
      <c r="Q65" s="1001">
        <v>50</v>
      </c>
      <c r="R65" s="909">
        <v>171</v>
      </c>
      <c r="S65" s="1017">
        <f t="shared" si="1"/>
        <v>3.42</v>
      </c>
      <c r="T65" s="1332">
        <v>1</v>
      </c>
      <c r="U65" s="1591"/>
      <c r="V65" s="1595"/>
      <c r="W65" s="1001">
        <v>649</v>
      </c>
      <c r="X65" s="909">
        <v>649</v>
      </c>
      <c r="Y65" s="1017">
        <f t="shared" si="7"/>
        <v>1</v>
      </c>
      <c r="Z65" s="1332">
        <v>1</v>
      </c>
      <c r="AA65" s="1999"/>
      <c r="AB65" s="2004"/>
      <c r="AC65" s="1973"/>
      <c r="AD65" s="1973"/>
    </row>
    <row r="66" spans="1:30" ht="30.75" thickBot="1" x14ac:dyDescent="0.3">
      <c r="A66" s="1545"/>
      <c r="B66" s="1571"/>
      <c r="C66" s="1546"/>
      <c r="D66" s="1547"/>
      <c r="E66" s="920" t="s">
        <v>582</v>
      </c>
      <c r="F66" s="909" t="s">
        <v>698</v>
      </c>
      <c r="G66" s="1066">
        <v>3788</v>
      </c>
      <c r="H66" s="906">
        <v>0.2</v>
      </c>
      <c r="I66" s="906" t="s">
        <v>42</v>
      </c>
      <c r="J66" s="1024" t="s">
        <v>40</v>
      </c>
      <c r="K66" s="1001">
        <v>750</v>
      </c>
      <c r="L66" s="909">
        <v>757</v>
      </c>
      <c r="M66" s="1135">
        <v>1.0093333333333334</v>
      </c>
      <c r="N66" s="1168">
        <v>1</v>
      </c>
      <c r="O66" s="1591"/>
      <c r="P66" s="1595"/>
      <c r="Q66" s="1001">
        <v>750</v>
      </c>
      <c r="R66" s="909">
        <v>778</v>
      </c>
      <c r="S66" s="1017">
        <f t="shared" si="1"/>
        <v>1.0373333333333334</v>
      </c>
      <c r="T66" s="1332">
        <v>1</v>
      </c>
      <c r="U66" s="1591"/>
      <c r="V66" s="1595"/>
      <c r="W66" s="1001">
        <v>857</v>
      </c>
      <c r="X66" s="909">
        <v>857</v>
      </c>
      <c r="Y66" s="1017">
        <f t="shared" si="7"/>
        <v>1</v>
      </c>
      <c r="Z66" s="1332">
        <v>1</v>
      </c>
      <c r="AA66" s="1999"/>
      <c r="AB66" s="2004"/>
      <c r="AC66" s="1973"/>
      <c r="AD66" s="1973"/>
    </row>
    <row r="67" spans="1:30" ht="30.75" thickBot="1" x14ac:dyDescent="0.3">
      <c r="A67" s="1545"/>
      <c r="B67" s="1571"/>
      <c r="C67" s="1546"/>
      <c r="D67" s="1547"/>
      <c r="E67" s="920" t="s">
        <v>583</v>
      </c>
      <c r="F67" s="909" t="s">
        <v>699</v>
      </c>
      <c r="G67" s="1066">
        <v>10400</v>
      </c>
      <c r="H67" s="906">
        <v>0.2</v>
      </c>
      <c r="I67" s="906" t="s">
        <v>42</v>
      </c>
      <c r="J67" s="1024" t="s">
        <v>40</v>
      </c>
      <c r="K67" s="1001">
        <v>3000</v>
      </c>
      <c r="L67" s="909">
        <v>2967</v>
      </c>
      <c r="M67" s="1135">
        <v>0.98899999999999999</v>
      </c>
      <c r="N67" s="1168">
        <f t="shared" si="0"/>
        <v>0.98899999999999999</v>
      </c>
      <c r="O67" s="1591"/>
      <c r="P67" s="1595"/>
      <c r="Q67" s="1001">
        <v>3000</v>
      </c>
      <c r="R67" s="909">
        <v>6029</v>
      </c>
      <c r="S67" s="1017">
        <f t="shared" si="1"/>
        <v>2.0096666666666665</v>
      </c>
      <c r="T67" s="1332">
        <v>1</v>
      </c>
      <c r="U67" s="1591"/>
      <c r="V67" s="1595"/>
      <c r="W67" s="1001">
        <v>3099</v>
      </c>
      <c r="X67" s="909">
        <v>3099</v>
      </c>
      <c r="Y67" s="1017">
        <f t="shared" si="7"/>
        <v>1</v>
      </c>
      <c r="Z67" s="1332">
        <v>1</v>
      </c>
      <c r="AA67" s="1999"/>
      <c r="AB67" s="2004"/>
      <c r="AC67" s="1973"/>
      <c r="AD67" s="1973"/>
    </row>
    <row r="68" spans="1:30" ht="30.75" thickBot="1" x14ac:dyDescent="0.3">
      <c r="A68" s="1564"/>
      <c r="B68" s="1572"/>
      <c r="C68" s="1562"/>
      <c r="D68" s="1563"/>
      <c r="E68" s="1143" t="s">
        <v>766</v>
      </c>
      <c r="F68" s="941" t="s">
        <v>306</v>
      </c>
      <c r="G68" s="1144">
        <v>0</v>
      </c>
      <c r="H68" s="1041">
        <v>0.2</v>
      </c>
      <c r="I68" s="1041" t="s">
        <v>42</v>
      </c>
      <c r="J68" s="1042" t="s">
        <v>40</v>
      </c>
      <c r="K68" s="1096">
        <v>0</v>
      </c>
      <c r="L68" s="928">
        <v>0</v>
      </c>
      <c r="M68" s="1136">
        <v>0</v>
      </c>
      <c r="N68" s="1168">
        <f t="shared" si="0"/>
        <v>0</v>
      </c>
      <c r="O68" s="1592"/>
      <c r="P68" s="1596"/>
      <c r="Q68" s="1096">
        <v>100</v>
      </c>
      <c r="R68" s="928">
        <v>100</v>
      </c>
      <c r="S68" s="1017">
        <f t="shared" si="1"/>
        <v>1</v>
      </c>
      <c r="T68" s="1332">
        <f>+R68/Q68</f>
        <v>1</v>
      </c>
      <c r="U68" s="1592"/>
      <c r="V68" s="1596"/>
      <c r="W68" s="1096">
        <v>10</v>
      </c>
      <c r="X68" s="928">
        <v>10</v>
      </c>
      <c r="Y68" s="1017">
        <f t="shared" si="7"/>
        <v>1</v>
      </c>
      <c r="Z68" s="1332">
        <f>+X68/W68</f>
        <v>1</v>
      </c>
      <c r="AA68" s="2000"/>
      <c r="AB68" s="2005"/>
      <c r="AC68" s="1973"/>
      <c r="AD68" s="1973"/>
    </row>
    <row r="69" spans="1:30" ht="63.75" thickBot="1" x14ac:dyDescent="0.3">
      <c r="A69" s="1533" t="s">
        <v>594</v>
      </c>
      <c r="B69" s="1555">
        <v>18</v>
      </c>
      <c r="C69" s="1555" t="s">
        <v>312</v>
      </c>
      <c r="D69" s="1556">
        <v>0.09</v>
      </c>
      <c r="E69" s="207" t="s">
        <v>584</v>
      </c>
      <c r="F69" s="823" t="s">
        <v>309</v>
      </c>
      <c r="G69" s="822">
        <v>12</v>
      </c>
      <c r="H69" s="427">
        <v>0.1</v>
      </c>
      <c r="I69" s="833" t="s">
        <v>42</v>
      </c>
      <c r="J69" s="677" t="s">
        <v>40</v>
      </c>
      <c r="K69" s="826">
        <v>2</v>
      </c>
      <c r="L69" s="830">
        <v>2</v>
      </c>
      <c r="M69" s="778">
        <v>1</v>
      </c>
      <c r="N69" s="1168">
        <f t="shared" si="0"/>
        <v>1</v>
      </c>
      <c r="O69" s="1590" t="s">
        <v>184</v>
      </c>
      <c r="P69" s="1594">
        <f>(M69*H69)+(M70*H70)+(M71*H71)+(N72*H72)+(N73*H73)+(M74*H74)+(N75*H75)+(M76*H76)+(N77*H77)</f>
        <v>0.83199999999999996</v>
      </c>
      <c r="Q69" s="1242">
        <v>1</v>
      </c>
      <c r="R69" s="1246">
        <v>0</v>
      </c>
      <c r="S69" s="1017">
        <f t="shared" si="1"/>
        <v>0</v>
      </c>
      <c r="T69" s="1332">
        <f>+R69/Q69</f>
        <v>0</v>
      </c>
      <c r="U69" s="1590" t="s">
        <v>184</v>
      </c>
      <c r="V69" s="1594">
        <f>(S69*H69)+(S70*H70)+(S71*H71)+(S72*H72)+(T73*H73)+(S74*H74)+(T75*H75)+(T76*H76)+(S77*N77)</f>
        <v>0.72599999999999998</v>
      </c>
      <c r="W69" s="1402">
        <v>2</v>
      </c>
      <c r="X69" s="1406">
        <v>1</v>
      </c>
      <c r="Y69" s="1017">
        <f t="shared" si="7"/>
        <v>0.5</v>
      </c>
      <c r="Z69" s="1332">
        <f>+X69/W69</f>
        <v>0.5</v>
      </c>
      <c r="AA69" s="1998" t="s">
        <v>184</v>
      </c>
      <c r="AB69" s="2010">
        <f>(Z69*H69)+(Z70*H70)+(Z71*H71)+(Z72*H72)+(Z73*H73)+(Z74*H74)+(Z75*H75)+(Z76*H76)+(Z77*H77)</f>
        <v>0.53572727272727272</v>
      </c>
      <c r="AC69" s="1975"/>
      <c r="AD69" s="1975"/>
    </row>
    <row r="70" spans="1:30" ht="32.25" thickBot="1" x14ac:dyDescent="0.3">
      <c r="A70" s="1545"/>
      <c r="B70" s="1546"/>
      <c r="C70" s="1546"/>
      <c r="D70" s="1547"/>
      <c r="E70" s="209" t="s">
        <v>637</v>
      </c>
      <c r="F70" s="823" t="s">
        <v>308</v>
      </c>
      <c r="G70" s="829">
        <v>12</v>
      </c>
      <c r="H70" s="819">
        <v>0.1</v>
      </c>
      <c r="I70" s="816" t="s">
        <v>42</v>
      </c>
      <c r="J70" s="678" t="s">
        <v>106</v>
      </c>
      <c r="K70" s="827">
        <v>20</v>
      </c>
      <c r="L70" s="829">
        <v>14</v>
      </c>
      <c r="M70" s="674">
        <v>0.7</v>
      </c>
      <c r="N70" s="1168">
        <f t="shared" si="0"/>
        <v>0.7</v>
      </c>
      <c r="O70" s="1591"/>
      <c r="P70" s="1595"/>
      <c r="Q70" s="1243">
        <v>20</v>
      </c>
      <c r="R70" s="1245">
        <v>17</v>
      </c>
      <c r="S70" s="1017">
        <f t="shared" si="1"/>
        <v>0.85</v>
      </c>
      <c r="T70" s="1332">
        <f>+R70/Q70</f>
        <v>0.85</v>
      </c>
      <c r="U70" s="1591"/>
      <c r="V70" s="1595"/>
      <c r="W70" s="1403">
        <v>20</v>
      </c>
      <c r="X70" s="1405">
        <v>20</v>
      </c>
      <c r="Y70" s="1017">
        <f t="shared" si="7"/>
        <v>1</v>
      </c>
      <c r="Z70" s="1332">
        <f>+X70/W70</f>
        <v>1</v>
      </c>
      <c r="AA70" s="1999"/>
      <c r="AB70" s="2004"/>
      <c r="AC70" s="1973"/>
      <c r="AD70" s="1973"/>
    </row>
    <row r="71" spans="1:30" ht="48" thickBot="1" x14ac:dyDescent="0.3">
      <c r="A71" s="1545"/>
      <c r="B71" s="1546"/>
      <c r="C71" s="1546"/>
      <c r="D71" s="1547"/>
      <c r="E71" s="207" t="s">
        <v>638</v>
      </c>
      <c r="F71" s="823" t="s">
        <v>746</v>
      </c>
      <c r="G71" s="829">
        <v>0</v>
      </c>
      <c r="H71" s="819">
        <v>0.1</v>
      </c>
      <c r="I71" s="816" t="s">
        <v>42</v>
      </c>
      <c r="J71" s="678" t="s">
        <v>40</v>
      </c>
      <c r="K71" s="827">
        <v>40</v>
      </c>
      <c r="L71" s="829">
        <v>0</v>
      </c>
      <c r="M71" s="674">
        <v>0</v>
      </c>
      <c r="N71" s="1168">
        <f t="shared" si="0"/>
        <v>0</v>
      </c>
      <c r="O71" s="1591"/>
      <c r="P71" s="1595"/>
      <c r="Q71" s="1243">
        <v>40</v>
      </c>
      <c r="R71" s="1245">
        <v>10</v>
      </c>
      <c r="S71" s="1017">
        <f t="shared" si="1"/>
        <v>0.25</v>
      </c>
      <c r="T71" s="1332">
        <f>+R71/Q71</f>
        <v>0.25</v>
      </c>
      <c r="U71" s="1591"/>
      <c r="V71" s="1595"/>
      <c r="W71" s="1403">
        <v>20</v>
      </c>
      <c r="X71" s="1405">
        <v>32</v>
      </c>
      <c r="Y71" s="1017">
        <f t="shared" si="7"/>
        <v>1.6</v>
      </c>
      <c r="Z71" s="1332">
        <v>1</v>
      </c>
      <c r="AA71" s="1999"/>
      <c r="AB71" s="2004"/>
      <c r="AC71" s="1973"/>
      <c r="AD71" s="1973"/>
    </row>
    <row r="72" spans="1:30" ht="48" thickBot="1" x14ac:dyDescent="0.3">
      <c r="A72" s="1545"/>
      <c r="B72" s="1546"/>
      <c r="C72" s="1546"/>
      <c r="D72" s="1547"/>
      <c r="E72" s="209" t="s">
        <v>639</v>
      </c>
      <c r="F72" s="823" t="s">
        <v>503</v>
      </c>
      <c r="G72" s="829">
        <v>411</v>
      </c>
      <c r="H72" s="819">
        <v>0.15</v>
      </c>
      <c r="I72" s="816" t="s">
        <v>42</v>
      </c>
      <c r="J72" s="215" t="s">
        <v>40</v>
      </c>
      <c r="K72" s="827">
        <v>250</v>
      </c>
      <c r="L72" s="829">
        <v>252</v>
      </c>
      <c r="M72" s="674">
        <v>1.008</v>
      </c>
      <c r="N72" s="1168">
        <v>1</v>
      </c>
      <c r="O72" s="1591"/>
      <c r="P72" s="1595"/>
      <c r="Q72" s="1243">
        <v>300</v>
      </c>
      <c r="R72" s="1245">
        <v>252</v>
      </c>
      <c r="S72" s="1017">
        <f t="shared" si="1"/>
        <v>0.84</v>
      </c>
      <c r="T72" s="1332">
        <f>+R72/Q72</f>
        <v>0.84</v>
      </c>
      <c r="U72" s="1591"/>
      <c r="V72" s="1595"/>
      <c r="W72" s="1403">
        <v>550</v>
      </c>
      <c r="X72" s="1405">
        <v>87</v>
      </c>
      <c r="Y72" s="1017">
        <f t="shared" si="7"/>
        <v>0.15818181818181817</v>
      </c>
      <c r="Z72" s="1332">
        <f>+X72/W72</f>
        <v>0.15818181818181817</v>
      </c>
      <c r="AA72" s="1999"/>
      <c r="AB72" s="2004"/>
      <c r="AC72" s="1973"/>
      <c r="AD72" s="1973"/>
    </row>
    <row r="73" spans="1:30" ht="32.25" thickBot="1" x14ac:dyDescent="0.3">
      <c r="A73" s="1545"/>
      <c r="B73" s="1546"/>
      <c r="C73" s="1546"/>
      <c r="D73" s="1547"/>
      <c r="E73" s="207" t="s">
        <v>640</v>
      </c>
      <c r="F73" s="823" t="s">
        <v>700</v>
      </c>
      <c r="G73" s="829">
        <v>54</v>
      </c>
      <c r="H73" s="819">
        <v>0.1</v>
      </c>
      <c r="I73" s="816" t="s">
        <v>42</v>
      </c>
      <c r="J73" s="215" t="s">
        <v>40</v>
      </c>
      <c r="K73" s="827">
        <v>10</v>
      </c>
      <c r="L73" s="829">
        <v>16</v>
      </c>
      <c r="M73" s="674">
        <v>1.6</v>
      </c>
      <c r="N73" s="1168">
        <v>1</v>
      </c>
      <c r="O73" s="1591"/>
      <c r="P73" s="1595"/>
      <c r="Q73" s="1243">
        <v>15</v>
      </c>
      <c r="R73" s="1245">
        <v>27</v>
      </c>
      <c r="S73" s="1017">
        <f t="shared" si="1"/>
        <v>1.8</v>
      </c>
      <c r="T73" s="1332">
        <v>1</v>
      </c>
      <c r="U73" s="1591"/>
      <c r="V73" s="1595"/>
      <c r="W73" s="1403">
        <v>10</v>
      </c>
      <c r="X73" s="1405">
        <v>66</v>
      </c>
      <c r="Y73" s="1017">
        <f t="shared" si="7"/>
        <v>6.6</v>
      </c>
      <c r="Z73" s="1332">
        <v>1</v>
      </c>
      <c r="AA73" s="1999"/>
      <c r="AB73" s="2004"/>
      <c r="AC73" s="1973"/>
      <c r="AD73" s="1973"/>
    </row>
    <row r="74" spans="1:30" ht="48" thickBot="1" x14ac:dyDescent="0.3">
      <c r="A74" s="1545"/>
      <c r="B74" s="1546"/>
      <c r="C74" s="1546"/>
      <c r="D74" s="1547"/>
      <c r="E74" s="209" t="s">
        <v>767</v>
      </c>
      <c r="F74" s="823" t="s">
        <v>762</v>
      </c>
      <c r="G74" s="829">
        <v>0</v>
      </c>
      <c r="H74" s="819">
        <v>0.1</v>
      </c>
      <c r="I74" s="816" t="s">
        <v>42</v>
      </c>
      <c r="J74" s="215" t="s">
        <v>40</v>
      </c>
      <c r="K74" s="827">
        <v>10</v>
      </c>
      <c r="L74" s="829">
        <v>10</v>
      </c>
      <c r="M74" s="674">
        <v>1</v>
      </c>
      <c r="N74" s="1168">
        <f>+M74</f>
        <v>1</v>
      </c>
      <c r="O74" s="1591"/>
      <c r="P74" s="1595"/>
      <c r="Q74" s="1243">
        <v>30</v>
      </c>
      <c r="R74" s="1245">
        <v>6</v>
      </c>
      <c r="S74" s="1017">
        <f t="shared" si="1"/>
        <v>0.2</v>
      </c>
      <c r="T74" s="1332">
        <f>+R74/Q74</f>
        <v>0.2</v>
      </c>
      <c r="U74" s="1591"/>
      <c r="V74" s="1595"/>
      <c r="W74" s="1403">
        <v>20</v>
      </c>
      <c r="X74" s="1405">
        <v>0</v>
      </c>
      <c r="Y74" s="1017">
        <f t="shared" si="7"/>
        <v>0</v>
      </c>
      <c r="Z74" s="1332">
        <f>+X74/W74</f>
        <v>0</v>
      </c>
      <c r="AA74" s="1999"/>
      <c r="AB74" s="2004"/>
      <c r="AC74" s="1973"/>
      <c r="AD74" s="1973"/>
    </row>
    <row r="75" spans="1:30" ht="32.25" thickBot="1" x14ac:dyDescent="0.3">
      <c r="A75" s="1545"/>
      <c r="B75" s="1546"/>
      <c r="C75" s="1546"/>
      <c r="D75" s="1547"/>
      <c r="E75" s="207" t="s">
        <v>768</v>
      </c>
      <c r="F75" s="823" t="s">
        <v>307</v>
      </c>
      <c r="G75" s="829">
        <v>523</v>
      </c>
      <c r="H75" s="819">
        <v>0.15</v>
      </c>
      <c r="I75" s="816" t="s">
        <v>42</v>
      </c>
      <c r="J75" s="215" t="s">
        <v>40</v>
      </c>
      <c r="K75" s="827">
        <v>300</v>
      </c>
      <c r="L75" s="829">
        <v>878</v>
      </c>
      <c r="M75" s="674">
        <v>2.9266666666666667</v>
      </c>
      <c r="N75" s="1168">
        <v>1</v>
      </c>
      <c r="O75" s="1591"/>
      <c r="P75" s="1595"/>
      <c r="Q75" s="1243">
        <v>300</v>
      </c>
      <c r="R75" s="1245">
        <v>410</v>
      </c>
      <c r="S75" s="1017">
        <f t="shared" si="1"/>
        <v>1.3666666666666667</v>
      </c>
      <c r="T75" s="1332">
        <v>1</v>
      </c>
      <c r="U75" s="1591"/>
      <c r="V75" s="1595"/>
      <c r="W75" s="1403">
        <v>300</v>
      </c>
      <c r="X75" s="1405">
        <v>525</v>
      </c>
      <c r="Y75" s="1017">
        <f t="shared" si="7"/>
        <v>1.75</v>
      </c>
      <c r="Z75" s="1332">
        <v>1</v>
      </c>
      <c r="AA75" s="1999"/>
      <c r="AB75" s="2004"/>
      <c r="AC75" s="1973"/>
      <c r="AD75" s="1973"/>
    </row>
    <row r="76" spans="1:30" ht="32.25" thickBot="1" x14ac:dyDescent="0.3">
      <c r="A76" s="1534"/>
      <c r="B76" s="1536"/>
      <c r="C76" s="1536"/>
      <c r="D76" s="1538"/>
      <c r="E76" s="831" t="s">
        <v>769</v>
      </c>
      <c r="F76" s="829" t="s">
        <v>750</v>
      </c>
      <c r="G76" s="126">
        <v>0</v>
      </c>
      <c r="H76" s="816">
        <v>0.1</v>
      </c>
      <c r="I76" s="816" t="s">
        <v>42</v>
      </c>
      <c r="J76" s="215" t="s">
        <v>40</v>
      </c>
      <c r="K76" s="827">
        <v>50</v>
      </c>
      <c r="L76" s="829">
        <v>31</v>
      </c>
      <c r="M76" s="674">
        <v>0.62</v>
      </c>
      <c r="N76" s="1168">
        <f t="shared" si="0"/>
        <v>0.62</v>
      </c>
      <c r="O76" s="1591"/>
      <c r="P76" s="1595"/>
      <c r="Q76" s="1243">
        <v>50</v>
      </c>
      <c r="R76" s="1245">
        <v>278</v>
      </c>
      <c r="S76" s="1017">
        <f t="shared" si="1"/>
        <v>5.56</v>
      </c>
      <c r="T76" s="1332">
        <v>1</v>
      </c>
      <c r="U76" s="1591"/>
      <c r="V76" s="1595"/>
      <c r="W76" s="1403">
        <v>50</v>
      </c>
      <c r="X76" s="1405">
        <v>0</v>
      </c>
      <c r="Y76" s="1017">
        <f t="shared" si="7"/>
        <v>0</v>
      </c>
      <c r="Z76" s="1332">
        <v>0</v>
      </c>
      <c r="AA76" s="1999"/>
      <c r="AB76" s="2004"/>
      <c r="AC76" s="1973"/>
      <c r="AD76" s="1973"/>
    </row>
    <row r="77" spans="1:30" ht="32.25" thickBot="1" x14ac:dyDescent="0.3">
      <c r="A77" s="1534"/>
      <c r="B77" s="1536"/>
      <c r="C77" s="1536"/>
      <c r="D77" s="1538"/>
      <c r="E77" s="211" t="s">
        <v>770</v>
      </c>
      <c r="F77" s="824" t="s">
        <v>751</v>
      </c>
      <c r="G77" s="126">
        <v>500</v>
      </c>
      <c r="H77" s="816">
        <v>0.1</v>
      </c>
      <c r="I77" s="816" t="s">
        <v>42</v>
      </c>
      <c r="J77" s="215" t="s">
        <v>40</v>
      </c>
      <c r="K77" s="828">
        <v>300</v>
      </c>
      <c r="L77" s="486">
        <v>312</v>
      </c>
      <c r="M77" s="789">
        <v>1.04</v>
      </c>
      <c r="N77" s="1168">
        <v>1</v>
      </c>
      <c r="O77" s="1592"/>
      <c r="P77" s="1596"/>
      <c r="Q77" s="1244">
        <v>400</v>
      </c>
      <c r="R77" s="486">
        <v>48</v>
      </c>
      <c r="S77" s="1017">
        <f t="shared" si="1"/>
        <v>0.12</v>
      </c>
      <c r="T77" s="1332">
        <f>+R77/Q77</f>
        <v>0.12</v>
      </c>
      <c r="U77" s="1592"/>
      <c r="V77" s="1596"/>
      <c r="W77" s="1404">
        <v>200</v>
      </c>
      <c r="X77" s="486">
        <v>24</v>
      </c>
      <c r="Y77" s="1017">
        <f t="shared" si="7"/>
        <v>0.12</v>
      </c>
      <c r="Z77" s="1332">
        <f>+X77/W77</f>
        <v>0.12</v>
      </c>
      <c r="AA77" s="2000"/>
      <c r="AB77" s="2005"/>
      <c r="AC77" s="1973"/>
      <c r="AD77" s="1973"/>
    </row>
    <row r="78" spans="1:30" ht="45" customHeight="1" thickBot="1" x14ac:dyDescent="0.3">
      <c r="A78" s="1533" t="s">
        <v>594</v>
      </c>
      <c r="B78" s="1535">
        <v>19</v>
      </c>
      <c r="C78" s="1535" t="s">
        <v>230</v>
      </c>
      <c r="D78" s="1537">
        <v>0.03</v>
      </c>
      <c r="E78" s="888" t="s">
        <v>585</v>
      </c>
      <c r="F78" s="893" t="s">
        <v>345</v>
      </c>
      <c r="G78" s="1054">
        <v>0</v>
      </c>
      <c r="H78" s="890">
        <v>0.5</v>
      </c>
      <c r="I78" s="890" t="s">
        <v>42</v>
      </c>
      <c r="J78" s="1017" t="s">
        <v>40</v>
      </c>
      <c r="K78" s="1145">
        <v>1</v>
      </c>
      <c r="L78" s="997">
        <v>1</v>
      </c>
      <c r="M78" s="1137">
        <v>1</v>
      </c>
      <c r="N78" s="1168">
        <f t="shared" si="0"/>
        <v>1</v>
      </c>
      <c r="O78" s="1590" t="s">
        <v>758</v>
      </c>
      <c r="P78" s="1594">
        <f>(M78*H78)+(M79*H79)</f>
        <v>0.5</v>
      </c>
      <c r="Q78" s="1145">
        <v>5</v>
      </c>
      <c r="R78" s="1234">
        <v>8</v>
      </c>
      <c r="S78" s="1017">
        <f t="shared" ref="S78:S81" si="11">+R78/Q78</f>
        <v>1.6</v>
      </c>
      <c r="T78" s="1332">
        <v>1</v>
      </c>
      <c r="U78" s="1590" t="s">
        <v>758</v>
      </c>
      <c r="V78" s="1594">
        <f>(T78*H78)+(S79*H79)</f>
        <v>0.5</v>
      </c>
      <c r="W78" s="1145">
        <v>6</v>
      </c>
      <c r="X78" s="1399">
        <v>0</v>
      </c>
      <c r="Y78" s="1017">
        <f t="shared" si="7"/>
        <v>0</v>
      </c>
      <c r="Z78" s="1332">
        <v>0</v>
      </c>
      <c r="AA78" s="1998" t="s">
        <v>758</v>
      </c>
      <c r="AB78" s="2010">
        <f>(Z78*H78)+(X79*H79)</f>
        <v>0</v>
      </c>
      <c r="AC78" s="1975"/>
      <c r="AD78" s="1975"/>
    </row>
    <row r="79" spans="1:30" ht="60.75" thickBot="1" x14ac:dyDescent="0.3">
      <c r="A79" s="1534"/>
      <c r="B79" s="1536"/>
      <c r="C79" s="1536"/>
      <c r="D79" s="1538"/>
      <c r="E79" s="933" t="s">
        <v>586</v>
      </c>
      <c r="F79" s="928" t="s">
        <v>313</v>
      </c>
      <c r="G79" s="1069">
        <v>0</v>
      </c>
      <c r="H79" s="929">
        <v>0.5</v>
      </c>
      <c r="I79" s="929" t="s">
        <v>42</v>
      </c>
      <c r="J79" s="1132" t="s">
        <v>40</v>
      </c>
      <c r="K79" s="1096">
        <v>1</v>
      </c>
      <c r="L79" s="928">
        <v>0</v>
      </c>
      <c r="M79" s="1136">
        <v>0</v>
      </c>
      <c r="N79" s="1168">
        <f t="shared" ref="N79:N81" si="12">+M79</f>
        <v>0</v>
      </c>
      <c r="O79" s="1592"/>
      <c r="P79" s="1596"/>
      <c r="Q79" s="1096">
        <v>5</v>
      </c>
      <c r="R79" s="928">
        <v>0</v>
      </c>
      <c r="S79" s="1017">
        <f t="shared" si="11"/>
        <v>0</v>
      </c>
      <c r="T79" s="1332">
        <f t="shared" ref="T79:T81" si="13">+R79/Q79</f>
        <v>0</v>
      </c>
      <c r="U79" s="1592"/>
      <c r="V79" s="1596"/>
      <c r="W79" s="1096">
        <v>6</v>
      </c>
      <c r="X79" s="928">
        <v>0</v>
      </c>
      <c r="Y79" s="1017">
        <f t="shared" si="7"/>
        <v>0</v>
      </c>
      <c r="Z79" s="1332">
        <f t="shared" ref="Z79:Z81" si="14">+X79/W79</f>
        <v>0</v>
      </c>
      <c r="AA79" s="2000"/>
      <c r="AB79" s="2004"/>
      <c r="AC79" s="1973"/>
      <c r="AD79" s="1973"/>
    </row>
    <row r="80" spans="1:30" ht="30" customHeight="1" thickBot="1" x14ac:dyDescent="0.3">
      <c r="A80" s="1533" t="s">
        <v>594</v>
      </c>
      <c r="B80" s="1535">
        <v>20</v>
      </c>
      <c r="C80" s="1535" t="s">
        <v>229</v>
      </c>
      <c r="D80" s="1537">
        <v>0.03</v>
      </c>
      <c r="E80" s="888" t="s">
        <v>587</v>
      </c>
      <c r="F80" s="893" t="s">
        <v>284</v>
      </c>
      <c r="G80" s="893">
        <v>20</v>
      </c>
      <c r="H80" s="890">
        <v>0.5</v>
      </c>
      <c r="I80" s="890" t="s">
        <v>42</v>
      </c>
      <c r="J80" s="1017" t="s">
        <v>40</v>
      </c>
      <c r="K80" s="995">
        <v>1</v>
      </c>
      <c r="L80" s="893">
        <v>1</v>
      </c>
      <c r="M80" s="1134">
        <v>1</v>
      </c>
      <c r="N80" s="1168">
        <f t="shared" si="12"/>
        <v>1</v>
      </c>
      <c r="O80" s="1590" t="s">
        <v>758</v>
      </c>
      <c r="P80" s="1594">
        <f>(M80*H80)+(M81*H81)</f>
        <v>0.94776119402985071</v>
      </c>
      <c r="Q80" s="995">
        <v>4</v>
      </c>
      <c r="R80" s="893">
        <v>8</v>
      </c>
      <c r="S80" s="1017">
        <f t="shared" si="11"/>
        <v>2</v>
      </c>
      <c r="T80" s="1332">
        <v>1</v>
      </c>
      <c r="U80" s="1590" t="s">
        <v>758</v>
      </c>
      <c r="V80" s="1594">
        <f>(T80*H80)+(S81*H81)</f>
        <v>0.76865671641791045</v>
      </c>
      <c r="W80" s="995">
        <v>5</v>
      </c>
      <c r="X80" s="893">
        <v>0</v>
      </c>
      <c r="Y80" s="1017">
        <f t="shared" si="7"/>
        <v>0</v>
      </c>
      <c r="Z80" s="1332">
        <v>0</v>
      </c>
      <c r="AA80" s="1998" t="s">
        <v>758</v>
      </c>
      <c r="AB80" s="2010">
        <f>(Z80*H80)+(Z81*H81)</f>
        <v>0.1044776119402985</v>
      </c>
      <c r="AC80" s="1975"/>
      <c r="AD80" s="1975"/>
    </row>
    <row r="81" spans="1:30" ht="60.75" thickBot="1" x14ac:dyDescent="0.3">
      <c r="A81" s="1564"/>
      <c r="B81" s="1562"/>
      <c r="C81" s="1562"/>
      <c r="D81" s="1563"/>
      <c r="E81" s="1039" t="s">
        <v>588</v>
      </c>
      <c r="F81" s="941" t="s">
        <v>516</v>
      </c>
      <c r="G81" s="941">
        <v>431</v>
      </c>
      <c r="H81" s="1041">
        <v>0.5</v>
      </c>
      <c r="I81" s="1041" t="s">
        <v>42</v>
      </c>
      <c r="J81" s="1042" t="s">
        <v>40</v>
      </c>
      <c r="K81" s="1100">
        <v>67</v>
      </c>
      <c r="L81" s="941">
        <v>60</v>
      </c>
      <c r="M81" s="1139">
        <v>0.89552238805970152</v>
      </c>
      <c r="N81" s="1168">
        <f t="shared" si="12"/>
        <v>0.89552238805970152</v>
      </c>
      <c r="O81" s="1592"/>
      <c r="P81" s="1596"/>
      <c r="Q81" s="1100">
        <v>67</v>
      </c>
      <c r="R81" s="941">
        <v>36</v>
      </c>
      <c r="S81" s="1017">
        <f t="shared" si="11"/>
        <v>0.53731343283582089</v>
      </c>
      <c r="T81" s="1332">
        <f t="shared" si="13"/>
        <v>0.53731343283582089</v>
      </c>
      <c r="U81" s="1592"/>
      <c r="V81" s="1596"/>
      <c r="W81" s="1100">
        <v>67</v>
      </c>
      <c r="X81" s="941">
        <v>14</v>
      </c>
      <c r="Y81" s="1017">
        <f t="shared" si="7"/>
        <v>0.20895522388059701</v>
      </c>
      <c r="Z81" s="1332">
        <f t="shared" ref="Z81" si="15">+X81/W81</f>
        <v>0.20895522388059701</v>
      </c>
      <c r="AA81" s="2000"/>
      <c r="AB81" s="2005"/>
      <c r="AC81" s="1973"/>
      <c r="AD81" s="1973"/>
    </row>
  </sheetData>
  <sheetProtection algorithmName="SHA-512" hashValue="X0/p8XhqwOLm3tjRJmNUXiO6TQHxaWdxrKSOlPJxYWZWBaMBC6pWKAhx7L4SvnjI8GbJVAcLu1R/yPCDtKemng==" saltValue="b6lX6Igg4i+N1MTiMwKKXg==" spinCount="100000" sheet="1" objects="1" scenarios="1"/>
  <mergeCells count="168">
    <mergeCell ref="AA80:AA81"/>
    <mergeCell ref="AB80:AB81"/>
    <mergeCell ref="AA59:AA61"/>
    <mergeCell ref="AB59:AB61"/>
    <mergeCell ref="AA62:AA63"/>
    <mergeCell ref="AB62:AB63"/>
    <mergeCell ref="AA64:AA68"/>
    <mergeCell ref="AB64:AB68"/>
    <mergeCell ref="AA69:AA77"/>
    <mergeCell ref="AB69:AB77"/>
    <mergeCell ref="AA78:AA79"/>
    <mergeCell ref="AB78:AB79"/>
    <mergeCell ref="AA27:AA34"/>
    <mergeCell ref="AB27:AB34"/>
    <mergeCell ref="AA35:AA41"/>
    <mergeCell ref="AB35:AB41"/>
    <mergeCell ref="AA42:AA45"/>
    <mergeCell ref="AB42:AB45"/>
    <mergeCell ref="AA46:AA52"/>
    <mergeCell ref="AB46:AB52"/>
    <mergeCell ref="AA55:AA58"/>
    <mergeCell ref="AB55:AB58"/>
    <mergeCell ref="W10:Y10"/>
    <mergeCell ref="AA10:AA12"/>
    <mergeCell ref="AB10:AB12"/>
    <mergeCell ref="W11:Y11"/>
    <mergeCell ref="AA13:AA17"/>
    <mergeCell ref="AB13:AB17"/>
    <mergeCell ref="AA18:AA23"/>
    <mergeCell ref="AB18:AB23"/>
    <mergeCell ref="AA25:AA26"/>
    <mergeCell ref="AB25:AB26"/>
    <mergeCell ref="U78:U79"/>
    <mergeCell ref="V78:V79"/>
    <mergeCell ref="U80:U81"/>
    <mergeCell ref="V80:V81"/>
    <mergeCell ref="U55:U58"/>
    <mergeCell ref="V55:V58"/>
    <mergeCell ref="U59:U61"/>
    <mergeCell ref="V59:V61"/>
    <mergeCell ref="U62:U63"/>
    <mergeCell ref="V62:V63"/>
    <mergeCell ref="U64:U68"/>
    <mergeCell ref="V64:V68"/>
    <mergeCell ref="U69:U77"/>
    <mergeCell ref="V69:V77"/>
    <mergeCell ref="U25:U26"/>
    <mergeCell ref="V25:V26"/>
    <mergeCell ref="U27:U34"/>
    <mergeCell ref="V27:V34"/>
    <mergeCell ref="U35:U41"/>
    <mergeCell ref="V35:V41"/>
    <mergeCell ref="U42:U45"/>
    <mergeCell ref="V42:V45"/>
    <mergeCell ref="U46:U52"/>
    <mergeCell ref="V46:V52"/>
    <mergeCell ref="Q10:S10"/>
    <mergeCell ref="U10:U12"/>
    <mergeCell ref="V10:V12"/>
    <mergeCell ref="Q11:S11"/>
    <mergeCell ref="U13:U17"/>
    <mergeCell ref="V13:V17"/>
    <mergeCell ref="U18:U23"/>
    <mergeCell ref="V18:V23"/>
    <mergeCell ref="N10:N12"/>
    <mergeCell ref="B3:M4"/>
    <mergeCell ref="O78:O79"/>
    <mergeCell ref="O80:O81"/>
    <mergeCell ref="P46:P52"/>
    <mergeCell ref="P55:P58"/>
    <mergeCell ref="P59:P61"/>
    <mergeCell ref="P62:P63"/>
    <mergeCell ref="P64:P68"/>
    <mergeCell ref="P69:P77"/>
    <mergeCell ref="P78:P79"/>
    <mergeCell ref="P80:P81"/>
    <mergeCell ref="O46:O52"/>
    <mergeCell ref="O55:O58"/>
    <mergeCell ref="O59:O61"/>
    <mergeCell ref="O62:O63"/>
    <mergeCell ref="O64:O68"/>
    <mergeCell ref="O69:O77"/>
    <mergeCell ref="O35:O41"/>
    <mergeCell ref="O42:O45"/>
    <mergeCell ref="P13:P17"/>
    <mergeCell ref="P18:P23"/>
    <mergeCell ref="P25:P26"/>
    <mergeCell ref="P27:P34"/>
    <mergeCell ref="P35:P41"/>
    <mergeCell ref="A78:A79"/>
    <mergeCell ref="B78:B79"/>
    <mergeCell ref="C78:C79"/>
    <mergeCell ref="D78:D79"/>
    <mergeCell ref="A80:A81"/>
    <mergeCell ref="B80:B81"/>
    <mergeCell ref="C80:C81"/>
    <mergeCell ref="D80:D81"/>
    <mergeCell ref="D59:D61"/>
    <mergeCell ref="A62:A63"/>
    <mergeCell ref="D62:D63"/>
    <mergeCell ref="A64:A68"/>
    <mergeCell ref="B64:B68"/>
    <mergeCell ref="C64:C68"/>
    <mergeCell ref="D64:D68"/>
    <mergeCell ref="P42:P45"/>
    <mergeCell ref="O10:O12"/>
    <mergeCell ref="P10:P12"/>
    <mergeCell ref="O13:O17"/>
    <mergeCell ref="O18:O23"/>
    <mergeCell ref="O25:O26"/>
    <mergeCell ref="O27:O34"/>
    <mergeCell ref="A69:A77"/>
    <mergeCell ref="B69:B77"/>
    <mergeCell ref="C69:C77"/>
    <mergeCell ref="D69:D77"/>
    <mergeCell ref="A59:A61"/>
    <mergeCell ref="B59:B61"/>
    <mergeCell ref="C59:C61"/>
    <mergeCell ref="A46:A52"/>
    <mergeCell ref="B46:B52"/>
    <mergeCell ref="C46:C52"/>
    <mergeCell ref="D46:D52"/>
    <mergeCell ref="A55:A58"/>
    <mergeCell ref="B55:B58"/>
    <mergeCell ref="C55:C58"/>
    <mergeCell ref="D55:D58"/>
    <mergeCell ref="D31:D34"/>
    <mergeCell ref="A35:A41"/>
    <mergeCell ref="B35:B41"/>
    <mergeCell ref="C35:C41"/>
    <mergeCell ref="D35:D41"/>
    <mergeCell ref="A42:A45"/>
    <mergeCell ref="C42:C44"/>
    <mergeCell ref="D42:D45"/>
    <mergeCell ref="B42:B44"/>
    <mergeCell ref="A25:A26"/>
    <mergeCell ref="B25:B26"/>
    <mergeCell ref="C25:C26"/>
    <mergeCell ref="D25:D26"/>
    <mergeCell ref="A27:A34"/>
    <mergeCell ref="B27:B30"/>
    <mergeCell ref="C27:C30"/>
    <mergeCell ref="D27:D30"/>
    <mergeCell ref="B31:B34"/>
    <mergeCell ref="C31:C34"/>
    <mergeCell ref="A13:A17"/>
    <mergeCell ref="B13:B17"/>
    <mergeCell ref="C13:C17"/>
    <mergeCell ref="D13:D17"/>
    <mergeCell ref="A18:A23"/>
    <mergeCell ref="B18:B23"/>
    <mergeCell ref="C18:C23"/>
    <mergeCell ref="D18:D23"/>
    <mergeCell ref="F10:F12"/>
    <mergeCell ref="G10:G12"/>
    <mergeCell ref="H10:H12"/>
    <mergeCell ref="I10:I12"/>
    <mergeCell ref="J10:J12"/>
    <mergeCell ref="K11:M11"/>
    <mergeCell ref="K10:M10"/>
    <mergeCell ref="A7:F7"/>
    <mergeCell ref="A8:F8"/>
    <mergeCell ref="A9:F9"/>
    <mergeCell ref="A10:A12"/>
    <mergeCell ref="B10:B12"/>
    <mergeCell ref="C10:C12"/>
    <mergeCell ref="D10:D12"/>
    <mergeCell ref="E10:E12"/>
  </mergeCells>
  <conditionalFormatting sqref="M13:N26 N27:N81">
    <cfRule type="cellIs" dxfId="250" priority="186" stopIfTrue="1" operator="equal">
      <formula>0</formula>
    </cfRule>
    <cfRule type="cellIs" dxfId="249" priority="187" stopIfTrue="1" operator="greaterThan">
      <formula>1</formula>
    </cfRule>
    <cfRule type="cellIs" dxfId="248" priority="188" stopIfTrue="1" operator="between">
      <formula>0.9</formula>
      <formula>1</formula>
    </cfRule>
    <cfRule type="cellIs" dxfId="247" priority="189" stopIfTrue="1" operator="between">
      <formula>0.7</formula>
      <formula>0.8999</formula>
    </cfRule>
    <cfRule type="cellIs" dxfId="246" priority="190" stopIfTrue="1" operator="between">
      <formula>0.00001</formula>
      <formula>0.6999</formula>
    </cfRule>
  </conditionalFormatting>
  <conditionalFormatting sqref="M15:N15">
    <cfRule type="cellIs" dxfId="245" priority="185" stopIfTrue="1" operator="lessThanOrEqual">
      <formula>0.03</formula>
    </cfRule>
  </conditionalFormatting>
  <conditionalFormatting sqref="M31:M34 M27:M29">
    <cfRule type="cellIs" dxfId="244" priority="180" stopIfTrue="1" operator="equal">
      <formula>0</formula>
    </cfRule>
    <cfRule type="cellIs" dxfId="243" priority="181" stopIfTrue="1" operator="greaterThan">
      <formula>1</formula>
    </cfRule>
    <cfRule type="cellIs" dxfId="242" priority="182" stopIfTrue="1" operator="between">
      <formula>0.9</formula>
      <formula>1</formula>
    </cfRule>
    <cfRule type="cellIs" dxfId="241" priority="183" stopIfTrue="1" operator="between">
      <formula>0.7</formula>
      <formula>0.8999</formula>
    </cfRule>
    <cfRule type="cellIs" dxfId="240" priority="184" stopIfTrue="1" operator="between">
      <formula>0.00001</formula>
      <formula>0.6999</formula>
    </cfRule>
  </conditionalFormatting>
  <conditionalFormatting sqref="M30">
    <cfRule type="cellIs" dxfId="239" priority="175" stopIfTrue="1" operator="equal">
      <formula>0</formula>
    </cfRule>
    <cfRule type="cellIs" dxfId="238" priority="176" stopIfTrue="1" operator="greaterThan">
      <formula>1</formula>
    </cfRule>
    <cfRule type="cellIs" dxfId="237" priority="177" stopIfTrue="1" operator="between">
      <formula>0.9</formula>
      <formula>1</formula>
    </cfRule>
    <cfRule type="cellIs" dxfId="236" priority="178" stopIfTrue="1" operator="between">
      <formula>0.7</formula>
      <formula>0.8999</formula>
    </cfRule>
    <cfRule type="cellIs" dxfId="235" priority="179" stopIfTrue="1" operator="between">
      <formula>0.00001</formula>
      <formula>0.6999</formula>
    </cfRule>
  </conditionalFormatting>
  <conditionalFormatting sqref="M35:M41">
    <cfRule type="cellIs" dxfId="234" priority="170" stopIfTrue="1" operator="equal">
      <formula>0</formula>
    </cfRule>
    <cfRule type="cellIs" dxfId="233" priority="171" stopIfTrue="1" operator="greaterThan">
      <formula>1</formula>
    </cfRule>
    <cfRule type="cellIs" dxfId="232" priority="172" stopIfTrue="1" operator="between">
      <formula>0.9</formula>
      <formula>1</formula>
    </cfRule>
    <cfRule type="cellIs" dxfId="231" priority="173" stopIfTrue="1" operator="between">
      <formula>0.7</formula>
      <formula>0.8999</formula>
    </cfRule>
    <cfRule type="cellIs" dxfId="230" priority="174" stopIfTrue="1" operator="between">
      <formula>0.00001</formula>
      <formula>0.6999</formula>
    </cfRule>
  </conditionalFormatting>
  <conditionalFormatting sqref="M42:M44">
    <cfRule type="cellIs" dxfId="229" priority="165" stopIfTrue="1" operator="equal">
      <formula>0</formula>
    </cfRule>
    <cfRule type="cellIs" dxfId="228" priority="166" stopIfTrue="1" operator="greaterThan">
      <formula>1</formula>
    </cfRule>
    <cfRule type="cellIs" dxfId="227" priority="167" stopIfTrue="1" operator="between">
      <formula>0.9</formula>
      <formula>1</formula>
    </cfRule>
    <cfRule type="cellIs" dxfId="226" priority="168" stopIfTrue="1" operator="between">
      <formula>0.7</formula>
      <formula>0.8999</formula>
    </cfRule>
    <cfRule type="cellIs" dxfId="225" priority="169" stopIfTrue="1" operator="between">
      <formula>0.00001</formula>
      <formula>0.6999</formula>
    </cfRule>
  </conditionalFormatting>
  <conditionalFormatting sqref="M45">
    <cfRule type="cellIs" dxfId="224" priority="160" stopIfTrue="1" operator="equal">
      <formula>0</formula>
    </cfRule>
    <cfRule type="cellIs" dxfId="223" priority="161" stopIfTrue="1" operator="greaterThan">
      <formula>1</formula>
    </cfRule>
    <cfRule type="cellIs" dxfId="222" priority="162" stopIfTrue="1" operator="between">
      <formula>0.9</formula>
      <formula>1</formula>
    </cfRule>
    <cfRule type="cellIs" dxfId="221" priority="163" stopIfTrue="1" operator="between">
      <formula>0.7</formula>
      <formula>0.8999</formula>
    </cfRule>
    <cfRule type="cellIs" dxfId="220" priority="164" stopIfTrue="1" operator="between">
      <formula>0.00001</formula>
      <formula>0.6999</formula>
    </cfRule>
  </conditionalFormatting>
  <conditionalFormatting sqref="M46:M63">
    <cfRule type="cellIs" dxfId="219" priority="145" stopIfTrue="1" operator="equal">
      <formula>0</formula>
    </cfRule>
    <cfRule type="cellIs" dxfId="218" priority="146" stopIfTrue="1" operator="greaterThan">
      <formula>1</formula>
    </cfRule>
    <cfRule type="cellIs" dxfId="217" priority="147" stopIfTrue="1" operator="between">
      <formula>0.9</formula>
      <formula>1</formula>
    </cfRule>
    <cfRule type="cellIs" dxfId="216" priority="148" stopIfTrue="1" operator="between">
      <formula>0.7</formula>
      <formula>0.8999</formula>
    </cfRule>
    <cfRule type="cellIs" dxfId="215" priority="149" stopIfTrue="1" operator="between">
      <formula>0.00001</formula>
      <formula>0.6999</formula>
    </cfRule>
  </conditionalFormatting>
  <conditionalFormatting sqref="M64:M68 M78:M81">
    <cfRule type="cellIs" dxfId="214" priority="140" stopIfTrue="1" operator="equal">
      <formula>0</formula>
    </cfRule>
    <cfRule type="cellIs" dxfId="213" priority="141" stopIfTrue="1" operator="greaterThan">
      <formula>1</formula>
    </cfRule>
    <cfRule type="cellIs" dxfId="212" priority="142" stopIfTrue="1" operator="between">
      <formula>0.9</formula>
      <formula>1</formula>
    </cfRule>
    <cfRule type="cellIs" dxfId="211" priority="143" stopIfTrue="1" operator="between">
      <formula>0.7</formula>
      <formula>0.8999</formula>
    </cfRule>
    <cfRule type="cellIs" dxfId="210" priority="144" stopIfTrue="1" operator="between">
      <formula>0.00001</formula>
      <formula>0.6999</formula>
    </cfRule>
  </conditionalFormatting>
  <conditionalFormatting sqref="AF14:AF24">
    <cfRule type="cellIs" dxfId="209" priority="132" operator="between">
      <formula>0</formula>
      <formula>0.6999</formula>
    </cfRule>
    <cfRule type="cellIs" dxfId="208" priority="133" operator="between">
      <formula>0.7</formula>
      <formula>0.8999</formula>
    </cfRule>
    <cfRule type="cellIs" dxfId="207" priority="134" stopIfTrue="1" operator="between">
      <formula>0.9</formula>
      <formula>1</formula>
    </cfRule>
  </conditionalFormatting>
  <conditionalFormatting sqref="M74">
    <cfRule type="cellIs" dxfId="206" priority="112" stopIfTrue="1" operator="equal">
      <formula>0</formula>
    </cfRule>
    <cfRule type="cellIs" dxfId="205" priority="113" stopIfTrue="1" operator="greaterThan">
      <formula>1</formula>
    </cfRule>
    <cfRule type="cellIs" dxfId="204" priority="114" stopIfTrue="1" operator="between">
      <formula>0.9</formula>
      <formula>1</formula>
    </cfRule>
    <cfRule type="cellIs" dxfId="203" priority="115" stopIfTrue="1" operator="between">
      <formula>0.7</formula>
      <formula>0.8999</formula>
    </cfRule>
    <cfRule type="cellIs" dxfId="202" priority="116" stopIfTrue="1" operator="between">
      <formula>0.00001</formula>
      <formula>0.6999</formula>
    </cfRule>
  </conditionalFormatting>
  <conditionalFormatting sqref="M69:M73 M75:M77">
    <cfRule type="cellIs" dxfId="201" priority="117" stopIfTrue="1" operator="equal">
      <formula>0</formula>
    </cfRule>
    <cfRule type="cellIs" dxfId="200" priority="118" stopIfTrue="1" operator="greaterThan">
      <formula>1</formula>
    </cfRule>
    <cfRule type="cellIs" dxfId="199" priority="119" stopIfTrue="1" operator="between">
      <formula>0.9</formula>
      <formula>1</formula>
    </cfRule>
    <cfRule type="cellIs" dxfId="198" priority="120" stopIfTrue="1" operator="between">
      <formula>0.7</formula>
      <formula>0.8999</formula>
    </cfRule>
    <cfRule type="cellIs" dxfId="197" priority="121" stopIfTrue="1" operator="between">
      <formula>0.00001</formula>
      <formula>0.6999</formula>
    </cfRule>
  </conditionalFormatting>
  <conditionalFormatting sqref="S13:T27 S29:T81">
    <cfRule type="cellIs" dxfId="196" priority="107" stopIfTrue="1" operator="equal">
      <formula>0</formula>
    </cfRule>
    <cfRule type="cellIs" dxfId="195" priority="108" stopIfTrue="1" operator="greaterThan">
      <formula>1</formula>
    </cfRule>
    <cfRule type="cellIs" dxfId="194" priority="109" stopIfTrue="1" operator="between">
      <formula>0.9</formula>
      <formula>1</formula>
    </cfRule>
    <cfRule type="cellIs" dxfId="193" priority="110" stopIfTrue="1" operator="between">
      <formula>0.7</formula>
      <formula>0.8999</formula>
    </cfRule>
    <cfRule type="cellIs" dxfId="192" priority="111" stopIfTrue="1" operator="between">
      <formula>0.00001</formula>
      <formula>0.6999</formula>
    </cfRule>
  </conditionalFormatting>
  <conditionalFormatting sqref="AG14:AG16 AG21:AG24">
    <cfRule type="cellIs" dxfId="191" priority="58" operator="between">
      <formula>0</formula>
      <formula>0.6999</formula>
    </cfRule>
    <cfRule type="cellIs" dxfId="190" priority="59" operator="between">
      <formula>0.7</formula>
      <formula>0.8999</formula>
    </cfRule>
    <cfRule type="cellIs" dxfId="189" priority="60" stopIfTrue="1" operator="between">
      <formula>0.9</formula>
      <formula>1</formula>
    </cfRule>
  </conditionalFormatting>
  <conditionalFormatting sqref="V13:V81">
    <cfRule type="cellIs" dxfId="188" priority="45" operator="between">
      <formula>0.000001</formula>
      <formula>0.69999</formula>
    </cfRule>
    <cfRule type="cellIs" dxfId="187" priority="46" operator="between">
      <formula>0.7</formula>
      <formula>0.8999</formula>
    </cfRule>
    <cfRule type="cellIs" dxfId="186" priority="47" operator="between">
      <formula>0.9</formula>
      <formula>1</formula>
    </cfRule>
  </conditionalFormatting>
  <conditionalFormatting sqref="AF25">
    <cfRule type="cellIs" dxfId="185" priority="42" operator="between">
      <formula>0</formula>
      <formula>0.6999</formula>
    </cfRule>
    <cfRule type="cellIs" dxfId="184" priority="43" operator="between">
      <formula>0.7</formula>
      <formula>0.8999</formula>
    </cfRule>
    <cfRule type="cellIs" dxfId="183" priority="44" stopIfTrue="1" operator="between">
      <formula>0.9</formula>
      <formula>1</formula>
    </cfRule>
  </conditionalFormatting>
  <conditionalFormatting sqref="AG25">
    <cfRule type="cellIs" dxfId="182" priority="39" operator="between">
      <formula>0</formula>
      <formula>0.6999</formula>
    </cfRule>
    <cfRule type="cellIs" dxfId="181" priority="40" operator="between">
      <formula>0.7</formula>
      <formula>0.8999</formula>
    </cfRule>
    <cfRule type="cellIs" dxfId="180" priority="41" stopIfTrue="1" operator="between">
      <formula>0.9</formula>
      <formula>1</formula>
    </cfRule>
  </conditionalFormatting>
  <conditionalFormatting sqref="AG20">
    <cfRule type="cellIs" dxfId="179" priority="36" operator="between">
      <formula>0</formula>
      <formula>0.6999</formula>
    </cfRule>
    <cfRule type="cellIs" dxfId="178" priority="37" operator="between">
      <formula>0.7</formula>
      <formula>0.8999</formula>
    </cfRule>
    <cfRule type="cellIs" dxfId="177" priority="38" stopIfTrue="1" operator="between">
      <formula>0.9</formula>
      <formula>1</formula>
    </cfRule>
  </conditionalFormatting>
  <conditionalFormatting sqref="AG19">
    <cfRule type="cellIs" dxfId="176" priority="33" operator="between">
      <formula>0</formula>
      <formula>0.6999</formula>
    </cfRule>
    <cfRule type="cellIs" dxfId="175" priority="34" operator="between">
      <formula>0.7</formula>
      <formula>0.8999</formula>
    </cfRule>
    <cfRule type="cellIs" dxfId="174" priority="35" stopIfTrue="1" operator="between">
      <formula>0.9</formula>
      <formula>1</formula>
    </cfRule>
  </conditionalFormatting>
  <conditionalFormatting sqref="AG18">
    <cfRule type="cellIs" dxfId="173" priority="30" operator="between">
      <formula>0</formula>
      <formula>0.6999</formula>
    </cfRule>
    <cfRule type="cellIs" dxfId="172" priority="31" operator="between">
      <formula>0.7</formula>
      <formula>0.8999</formula>
    </cfRule>
    <cfRule type="cellIs" dxfId="171" priority="32" stopIfTrue="1" operator="between">
      <formula>0.9</formula>
      <formula>1</formula>
    </cfRule>
  </conditionalFormatting>
  <conditionalFormatting sqref="AG17">
    <cfRule type="cellIs" dxfId="170" priority="27" operator="between">
      <formula>0</formula>
      <formula>0.6999</formula>
    </cfRule>
    <cfRule type="cellIs" dxfId="169" priority="28" operator="between">
      <formula>0.7</formula>
      <formula>0.8999</formula>
    </cfRule>
    <cfRule type="cellIs" dxfId="168" priority="29" stopIfTrue="1" operator="between">
      <formula>0.9</formula>
      <formula>1</formula>
    </cfRule>
  </conditionalFormatting>
  <conditionalFormatting sqref="Y13:Z27 Y29:Z81">
    <cfRule type="cellIs" dxfId="167" priority="22" stopIfTrue="1" operator="equal">
      <formula>0</formula>
    </cfRule>
    <cfRule type="cellIs" dxfId="166" priority="23" stopIfTrue="1" operator="greaterThan">
      <formula>1</formula>
    </cfRule>
    <cfRule type="cellIs" dxfId="165" priority="24" stopIfTrue="1" operator="between">
      <formula>0.9</formula>
      <formula>1</formula>
    </cfRule>
    <cfRule type="cellIs" dxfId="164" priority="25" stopIfTrue="1" operator="between">
      <formula>0.7</formula>
      <formula>0.8999</formula>
    </cfRule>
    <cfRule type="cellIs" dxfId="163" priority="26" stopIfTrue="1" operator="between">
      <formula>0.00001</formula>
      <formula>0.6999</formula>
    </cfRule>
  </conditionalFormatting>
  <conditionalFormatting sqref="AB13:AD81">
    <cfRule type="cellIs" dxfId="162" priority="19" operator="between">
      <formula>0.000001</formula>
      <formula>0.69999</formula>
    </cfRule>
    <cfRule type="cellIs" dxfId="161" priority="20" operator="between">
      <formula>0.7</formula>
      <formula>0.8999</formula>
    </cfRule>
    <cfRule type="cellIs" dxfId="160" priority="21" operator="between">
      <formula>0.9</formula>
      <formula>1</formula>
    </cfRule>
  </conditionalFormatting>
  <conditionalFormatting sqref="AH14:AH16 AH21:AH24">
    <cfRule type="cellIs" dxfId="17" priority="16" operator="between">
      <formula>0</formula>
      <formula>0.6999</formula>
    </cfRule>
    <cfRule type="cellIs" dxfId="16" priority="17" operator="between">
      <formula>0.7</formula>
      <formula>0.8999</formula>
    </cfRule>
    <cfRule type="cellIs" dxfId="15" priority="18" stopIfTrue="1" operator="between">
      <formula>0.9</formula>
      <formula>1</formula>
    </cfRule>
  </conditionalFormatting>
  <conditionalFormatting sqref="AH25">
    <cfRule type="cellIs" dxfId="14" priority="13" operator="between">
      <formula>0</formula>
      <formula>0.6999</formula>
    </cfRule>
    <cfRule type="cellIs" dxfId="13" priority="14" operator="between">
      <formula>0.7</formula>
      <formula>0.8999</formula>
    </cfRule>
    <cfRule type="cellIs" dxfId="12" priority="15" stopIfTrue="1" operator="between">
      <formula>0.9</formula>
      <formula>1</formula>
    </cfRule>
  </conditionalFormatting>
  <conditionalFormatting sqref="AH20">
    <cfRule type="cellIs" dxfId="11" priority="10" operator="between">
      <formula>0</formula>
      <formula>0.6999</formula>
    </cfRule>
    <cfRule type="cellIs" dxfId="10" priority="11" operator="between">
      <formula>0.7</formula>
      <formula>0.8999</formula>
    </cfRule>
    <cfRule type="cellIs" dxfId="9" priority="12" stopIfTrue="1" operator="between">
      <formula>0.9</formula>
      <formula>1</formula>
    </cfRule>
  </conditionalFormatting>
  <conditionalFormatting sqref="AH19">
    <cfRule type="cellIs" dxfId="8" priority="7" operator="between">
      <formula>0</formula>
      <formula>0.6999</formula>
    </cfRule>
    <cfRule type="cellIs" dxfId="7" priority="8" operator="between">
      <formula>0.7</formula>
      <formula>0.8999</formula>
    </cfRule>
    <cfRule type="cellIs" dxfId="6" priority="9" stopIfTrue="1" operator="between">
      <formula>0.9</formula>
      <formula>1</formula>
    </cfRule>
  </conditionalFormatting>
  <conditionalFormatting sqref="AH18">
    <cfRule type="cellIs" dxfId="5" priority="4" operator="between">
      <formula>0</formula>
      <formula>0.6999</formula>
    </cfRule>
    <cfRule type="cellIs" dxfId="4" priority="5" operator="between">
      <formula>0.7</formula>
      <formula>0.8999</formula>
    </cfRule>
    <cfRule type="cellIs" dxfId="3" priority="6" stopIfTrue="1" operator="between">
      <formula>0.9</formula>
      <formula>1</formula>
    </cfRule>
  </conditionalFormatting>
  <conditionalFormatting sqref="AH17">
    <cfRule type="cellIs" dxfId="2" priority="1" operator="between">
      <formula>0</formula>
      <formula>0.6999</formula>
    </cfRule>
    <cfRule type="cellIs" dxfId="1" priority="2" operator="between">
      <formula>0.7</formula>
      <formula>0.8999</formula>
    </cfRule>
    <cfRule type="cellIs" dxfId="0" priority="3" stopIfTrue="1" operator="between">
      <formula>0.9</formula>
      <formula>1</formula>
    </cfRule>
  </conditionalFormatting>
  <dataValidations disablePrompts="1" count="26">
    <dataValidation type="list" allowBlank="1" showInputMessage="1" showErrorMessage="1" prompt="Seleccione el Objetivo Estratégico" sqref="A42:A44">
      <formula1>$C$77:$C$83</formula1>
    </dataValidation>
    <dataValidation type="list" allowBlank="1" showInputMessage="1" showErrorMessage="1" prompt="Elija una opción del menu desplegable" sqref="I42:I44">
      <formula1>$C$67:$C$68</formula1>
    </dataValidation>
    <dataValidation type="list" allowBlank="1" showInputMessage="1" showErrorMessage="1" error="Debe seleccionar uno de los campos del menu desplegable" prompt="Elija una opción del menu desplegable" sqref="J42:J44">
      <formula1>$C$72:$C$73</formula1>
    </dataValidation>
    <dataValidation type="list" allowBlank="1" showInputMessage="1" showErrorMessage="1" error="Debe seleccionar uno de los campos del menu desplegable" prompt="Elija una opción del menu desplegable" sqref="J45">
      <formula1>$G$97:$G$98</formula1>
    </dataValidation>
    <dataValidation type="list" allowBlank="1" showInputMessage="1" showErrorMessage="1" prompt="Elija una opción del menu desplegable" sqref="I45">
      <formula1>$D$75:$D$76</formula1>
    </dataValidation>
    <dataValidation type="list" allowBlank="1" showInputMessage="1" showErrorMessage="1" error="Debe seleccionar uno de los campos del menu desplegable" prompt="Elija una opción del menu desplegable" sqref="J35:J41">
      <formula1>$F$79:$F$80</formula1>
    </dataValidation>
    <dataValidation type="list" allowBlank="1" showInputMessage="1" showErrorMessage="1" prompt="Elija una opción del menu desplegable" sqref="I35:I41">
      <formula1>#REF!</formula1>
    </dataValidation>
    <dataValidation type="list" allowBlank="1" showInputMessage="1" showErrorMessage="1" prompt="Seleccione el Objetivo Estratégico" sqref="A35:A41">
      <formula1>$F$83:$F$89</formula1>
    </dataValidation>
    <dataValidation type="list" allowBlank="1" showInputMessage="1" showErrorMessage="1" sqref="A13:A17 A24:A25">
      <formula1>$G$100:$G$106</formula1>
    </dataValidation>
    <dataValidation type="list" allowBlank="1" showInputMessage="1" showErrorMessage="1" prompt="Elija una opción del menu desplegable" sqref="I13:I23">
      <formula1>$G$91:$G$92</formula1>
    </dataValidation>
    <dataValidation type="list" allowBlank="1" showInputMessage="1" showErrorMessage="1" prompt="Elija una opción del menu desplegable" sqref="I24:I26">
      <formula1>$D$73:$D$75</formula1>
    </dataValidation>
    <dataValidation type="list" allowBlank="1" showInputMessage="1" showErrorMessage="1" error="Debe seleccionar uno de los campos del menu desplegable" prompt="Elija una opción del menu desplegable" sqref="J13:J26">
      <formula1>$G$96:$G$97</formula1>
    </dataValidation>
    <dataValidation type="list" allowBlank="1" showInputMessage="1" showErrorMessage="1" prompt="Elija una opción del menu desplegable" sqref="I59">
      <formula1>$F$128:$F$129</formula1>
    </dataValidation>
    <dataValidation type="list" allowBlank="1" showInputMessage="1" showErrorMessage="1" error="Debe seleccionar uno de los campos del menu desplegable" prompt="Elija una opción del menu desplegable" sqref="J59">
      <formula1>$F$133:$F$134</formula1>
    </dataValidation>
    <dataValidation type="list" allowBlank="1" showInputMessage="1" showErrorMessage="1" prompt="Elija una opción del menu desplegable" sqref="I46:I58 I60:I61">
      <formula1>$F$132:$F$133</formula1>
    </dataValidation>
    <dataValidation type="list" allowBlank="1" showInputMessage="1" showErrorMessage="1" error="Debe seleccionar uno de los campos del menu desplegable" prompt="Elija una opción del menu desplegable" sqref="J46:J58 J60:J63">
      <formula1>$F$137:$F$138</formula1>
    </dataValidation>
    <dataValidation type="list" allowBlank="1" showInputMessage="1" showErrorMessage="1" prompt="Elija una opción del menu desplegable" sqref="I80:I81">
      <formula1>$F$116:$F$117</formula1>
    </dataValidation>
    <dataValidation type="list" allowBlank="1" showInputMessage="1" showErrorMessage="1" prompt="Elija una opción del menu desplegable" sqref="I64:I68 I78:I79">
      <formula1>$F$126:$F$127</formula1>
    </dataValidation>
    <dataValidation type="list" allowBlank="1" showInputMessage="1" showErrorMessage="1" error="Debe seleccionar uno de los campos del menu desplegable" prompt="Elija una opción del menu desplegable" sqref="J64:J68 J78:J81">
      <formula1>$F$131:$F$132</formula1>
    </dataValidation>
    <dataValidation type="list" allowBlank="1" showInputMessage="1" showErrorMessage="1" prompt="Seleccione el Objetivo Estratégico" sqref="A64 A69 A78 A80">
      <formula1>$F$135:$F$141</formula1>
    </dataValidation>
    <dataValidation type="list" allowBlank="1" showInputMessage="1" showErrorMessage="1" prompt="Seleccione el Objetivo Estratégico" sqref="A46 A53:A55">
      <formula1>$F$140:$F$150</formula1>
    </dataValidation>
    <dataValidation type="list" allowBlank="1" showInputMessage="1" showErrorMessage="1" prompt="Elija una opción del menu desplegable" sqref="I62:I63">
      <formula1>$C$118:$C$119</formula1>
    </dataValidation>
    <dataValidation type="list" allowBlank="1" showInputMessage="1" showErrorMessage="1" sqref="A62:A63">
      <formula1>$F$141:$F$147</formula1>
    </dataValidation>
    <dataValidation type="list" allowBlank="1" showInputMessage="1" showErrorMessage="1" sqref="A27">
      <formula1>$C$84:$C$90</formula1>
    </dataValidation>
    <dataValidation type="list" allowBlank="1" showInputMessage="1" showErrorMessage="1" error="Debe seleccionar uno de los campos del menu desplegable" prompt="Elija una opción del menu desplegable" sqref="J69:J77">
      <formula1>$F$128:$F$129</formula1>
    </dataValidation>
    <dataValidation type="list" allowBlank="1" showInputMessage="1" showErrorMessage="1" prompt="Elija una opción del menu desplegable" sqref="I69:I77">
      <formula1>$F$123:$F$124</formula1>
    </dataValidation>
  </dataValidations>
  <pageMargins left="0.7" right="0.7" top="0.75" bottom="0.75" header="0.3" footer="0.3"/>
  <pageSetup scale="1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6CDC66"/>
  </sheetPr>
  <dimension ref="B1:BI188"/>
  <sheetViews>
    <sheetView topLeftCell="J4" zoomScale="55" zoomScaleNormal="55" workbookViewId="0">
      <selection activeCell="R11" sqref="R11:S24"/>
    </sheetView>
  </sheetViews>
  <sheetFormatPr baseColWidth="10" defaultColWidth="11.5" defaultRowHeight="17.25" x14ac:dyDescent="0.25"/>
  <cols>
    <col min="1" max="1" width="11.5" style="230"/>
    <col min="2" max="2" width="27.25" style="230" customWidth="1"/>
    <col min="3" max="3" width="5.125" style="230" customWidth="1"/>
    <col min="4" max="4" width="27.375" style="230" customWidth="1"/>
    <col min="5" max="6" width="9.625" style="230" customWidth="1"/>
    <col min="7" max="7" width="29.5" style="230" customWidth="1"/>
    <col min="8" max="8" width="13.875" style="230" customWidth="1"/>
    <col min="9" max="9" width="8.375" style="440" customWidth="1"/>
    <col min="10" max="10" width="14.375" style="230" customWidth="1"/>
    <col min="11" max="11" width="21" style="230" customWidth="1"/>
    <col min="12" max="12" width="17.875" style="440" customWidth="1"/>
    <col min="13" max="13" width="16.625" style="230" customWidth="1"/>
    <col min="14" max="14" width="11" style="665" customWidth="1"/>
    <col min="15" max="15" width="18.5" style="230" customWidth="1"/>
    <col min="16" max="16" width="16.625" style="230" bestFit="1" customWidth="1"/>
    <col min="17" max="17" width="9.875" style="230" customWidth="1"/>
    <col min="18" max="18" width="16.625" style="230" customWidth="1"/>
    <col min="19" max="19" width="18.125" style="230" customWidth="1"/>
    <col min="20" max="20" width="11.25" style="230" customWidth="1"/>
    <col min="21" max="21" width="16.625" style="230" customWidth="1"/>
    <col min="22" max="22" width="14.5" style="230" customWidth="1"/>
    <col min="23" max="23" width="7.5" style="230" customWidth="1"/>
    <col min="24" max="24" width="17.75" style="230" customWidth="1"/>
    <col min="25" max="25" width="18.25" style="230" customWidth="1"/>
    <col min="26" max="26" width="8.875" style="230" customWidth="1"/>
    <col min="27" max="27" width="14.375" style="230" customWidth="1"/>
    <col min="28" max="28" width="24.625" style="474" customWidth="1"/>
    <col min="29" max="29" width="26.625" style="474" customWidth="1"/>
    <col min="30" max="30" width="18.375" style="474" customWidth="1"/>
    <col min="31" max="31" width="14.25" style="474" customWidth="1"/>
    <col min="32" max="32" width="18.375" style="474" customWidth="1"/>
    <col min="33" max="33" width="17.625" style="230" customWidth="1"/>
    <col min="34" max="34" width="22.5" style="230" customWidth="1"/>
    <col min="35" max="35" width="33.375" style="230" customWidth="1"/>
    <col min="36" max="36" width="20.25" style="432" customWidth="1"/>
    <col min="37" max="37" width="18.125" style="432" customWidth="1"/>
    <col min="38" max="38" width="24.375" style="432" customWidth="1"/>
    <col min="39" max="39" width="19.375" style="432" customWidth="1"/>
    <col min="40" max="40" width="18.625" style="432" customWidth="1"/>
    <col min="41" max="41" width="24.375" style="432" customWidth="1"/>
    <col min="42" max="42" width="14.375" style="432" customWidth="1"/>
    <col min="43" max="43" width="17.75" style="432" customWidth="1"/>
    <col min="44" max="44" width="24.375" style="432" customWidth="1"/>
    <col min="45" max="45" width="17.875" style="432" customWidth="1"/>
    <col min="46" max="46" width="17.875" style="516" customWidth="1"/>
    <col min="47" max="47" width="17.75" style="432" bestFit="1" customWidth="1"/>
    <col min="48" max="48" width="11.5" style="432"/>
    <col min="49" max="49" width="12.875" style="432" bestFit="1" customWidth="1"/>
    <col min="50" max="52" width="11.5" style="432"/>
    <col min="53" max="16384" width="11.5" style="230"/>
  </cols>
  <sheetData>
    <row r="1" spans="2:54" ht="27.75" customHeight="1" x14ac:dyDescent="0.3">
      <c r="B1" s="1515"/>
      <c r="C1" s="1516"/>
      <c r="D1" s="1516"/>
      <c r="E1" s="1516"/>
      <c r="F1" s="1516"/>
      <c r="G1" s="1633"/>
      <c r="H1" s="310"/>
      <c r="I1" s="1637" t="s">
        <v>176</v>
      </c>
      <c r="J1" s="1638"/>
      <c r="K1" s="1638"/>
      <c r="L1" s="1638"/>
      <c r="M1" s="1638"/>
      <c r="N1" s="1638"/>
      <c r="O1" s="1638"/>
      <c r="P1" s="1638"/>
      <c r="Q1" s="1638"/>
      <c r="R1" s="1638"/>
      <c r="S1" s="1638"/>
      <c r="T1" s="1638"/>
      <c r="U1" s="1638"/>
      <c r="V1" s="1638"/>
      <c r="W1" s="1638"/>
      <c r="X1" s="1638"/>
      <c r="Y1" s="1638"/>
      <c r="Z1" s="1638"/>
      <c r="AA1" s="1639"/>
      <c r="AB1" s="555"/>
      <c r="AC1" s="555"/>
      <c r="AD1" s="555"/>
      <c r="AE1" s="227"/>
      <c r="AF1" s="227"/>
      <c r="AG1" s="228"/>
      <c r="AH1" s="228"/>
      <c r="AI1" s="228"/>
      <c r="AJ1" s="431"/>
      <c r="AK1" s="431"/>
      <c r="AL1" s="431"/>
      <c r="AM1" s="431"/>
      <c r="AN1" s="431"/>
      <c r="AO1" s="431"/>
      <c r="AP1" s="431"/>
      <c r="AQ1" s="431"/>
      <c r="AR1" s="454"/>
    </row>
    <row r="2" spans="2:54" ht="27.75" customHeight="1" x14ac:dyDescent="0.25">
      <c r="B2" s="1517"/>
      <c r="C2" s="1518"/>
      <c r="D2" s="1518"/>
      <c r="E2" s="1518"/>
      <c r="F2" s="1518"/>
      <c r="G2" s="1519"/>
      <c r="H2" s="311"/>
      <c r="I2" s="1640" t="s">
        <v>0</v>
      </c>
      <c r="J2" s="1641"/>
      <c r="K2" s="1641"/>
      <c r="L2" s="1641"/>
      <c r="M2" s="1641"/>
      <c r="N2" s="1641"/>
      <c r="O2" s="1641"/>
      <c r="P2" s="1641"/>
      <c r="Q2" s="1641"/>
      <c r="R2" s="1641"/>
      <c r="S2" s="1641"/>
      <c r="T2" s="1641"/>
      <c r="U2" s="1641"/>
      <c r="V2" s="1641"/>
      <c r="W2" s="1641"/>
      <c r="X2" s="1641"/>
      <c r="Y2" s="1641"/>
      <c r="Z2" s="1641"/>
      <c r="AA2" s="1642"/>
      <c r="AB2" s="473"/>
      <c r="AC2" s="473"/>
      <c r="AD2" s="473"/>
      <c r="AE2" s="473"/>
      <c r="AF2" s="473"/>
      <c r="AR2" s="455"/>
    </row>
    <row r="3" spans="2:54" ht="27.75" customHeight="1" x14ac:dyDescent="0.3">
      <c r="B3" s="1517"/>
      <c r="C3" s="1518"/>
      <c r="D3" s="1518"/>
      <c r="E3" s="1518"/>
      <c r="F3" s="1518"/>
      <c r="G3" s="1519"/>
      <c r="H3" s="311"/>
      <c r="I3" s="1643" t="s">
        <v>210</v>
      </c>
      <c r="J3" s="1644"/>
      <c r="K3" s="1644"/>
      <c r="L3" s="1644"/>
      <c r="M3" s="1644"/>
      <c r="N3" s="1644"/>
      <c r="O3" s="1644"/>
      <c r="P3" s="1644"/>
      <c r="Q3" s="1644"/>
      <c r="R3" s="1644"/>
      <c r="S3" s="1645">
        <v>2019</v>
      </c>
      <c r="T3" s="1645"/>
      <c r="U3" s="1646"/>
      <c r="V3" s="1646"/>
      <c r="W3" s="1646"/>
      <c r="X3" s="1646"/>
      <c r="Y3" s="1646"/>
      <c r="Z3" s="1646"/>
      <c r="AA3" s="1647"/>
      <c r="AB3" s="492"/>
      <c r="AC3" s="492"/>
      <c r="AD3" s="492"/>
      <c r="AE3" s="473"/>
      <c r="AR3" s="455"/>
    </row>
    <row r="4" spans="2:54" ht="39.75" customHeight="1" x14ac:dyDescent="0.25">
      <c r="B4" s="1504" t="s">
        <v>1</v>
      </c>
      <c r="C4" s="1505"/>
      <c r="D4" s="1505"/>
      <c r="E4" s="1505"/>
      <c r="F4" s="1505"/>
      <c r="G4" s="1506"/>
      <c r="H4" s="232"/>
      <c r="I4" s="1630" t="s">
        <v>227</v>
      </c>
      <c r="J4" s="1631"/>
      <c r="K4" s="1631"/>
      <c r="L4" s="1631"/>
      <c r="M4" s="1631"/>
      <c r="N4" s="1631"/>
      <c r="O4" s="1631"/>
      <c r="P4" s="1631"/>
      <c r="Q4" s="1631"/>
      <c r="R4" s="1631"/>
      <c r="S4" s="1631"/>
      <c r="T4" s="1631"/>
      <c r="U4" s="1631"/>
      <c r="V4" s="1631"/>
      <c r="W4" s="1631"/>
      <c r="X4" s="1631"/>
      <c r="Y4" s="1631"/>
      <c r="Z4" s="1631"/>
      <c r="AA4" s="1632"/>
      <c r="AB4" s="457"/>
      <c r="AC4" s="457"/>
      <c r="AD4" s="457"/>
      <c r="AE4" s="457"/>
      <c r="AR4" s="455"/>
    </row>
    <row r="5" spans="2:54" s="237" customFormat="1" ht="27.75" customHeight="1" x14ac:dyDescent="0.25">
      <c r="B5" s="1504" t="s">
        <v>235</v>
      </c>
      <c r="C5" s="1505"/>
      <c r="D5" s="1505"/>
      <c r="E5" s="1505"/>
      <c r="F5" s="1505"/>
      <c r="G5" s="1506"/>
      <c r="H5" s="232"/>
      <c r="I5" s="1640"/>
      <c r="J5" s="1641"/>
      <c r="K5" s="1641"/>
      <c r="L5" s="1641"/>
      <c r="M5" s="1641"/>
      <c r="N5" s="1641"/>
      <c r="O5" s="1641"/>
      <c r="P5" s="1641"/>
      <c r="Q5" s="1641"/>
      <c r="R5" s="1641"/>
      <c r="S5" s="1641"/>
      <c r="T5" s="1641"/>
      <c r="U5" s="1641"/>
      <c r="V5" s="1648"/>
      <c r="W5" s="1640" t="s">
        <v>4</v>
      </c>
      <c r="X5" s="1641"/>
      <c r="Y5" s="1649" t="str">
        <f>IF(ISERROR(VLOOKUP($I$5,$G$92:$M$117,6,0))," ",VLOOKUP($I$5,$G$92:$M$117,6,0))</f>
        <v xml:space="preserve"> </v>
      </c>
      <c r="Z5" s="1649"/>
      <c r="AA5" s="1650"/>
      <c r="AB5" s="473"/>
      <c r="AC5" s="474"/>
      <c r="AD5" s="474"/>
      <c r="AE5" s="473"/>
      <c r="AF5" s="556"/>
      <c r="AG5" s="230"/>
      <c r="AH5" s="230"/>
      <c r="AI5" s="230"/>
      <c r="AJ5" s="456"/>
      <c r="AK5" s="456"/>
      <c r="AL5" s="456"/>
      <c r="AM5" s="456"/>
      <c r="AN5" s="456"/>
      <c r="AO5" s="456"/>
      <c r="AP5" s="456"/>
      <c r="AQ5" s="456"/>
      <c r="AR5" s="430"/>
      <c r="AS5" s="456"/>
      <c r="AT5" s="456"/>
      <c r="AU5" s="456"/>
      <c r="AV5" s="456"/>
      <c r="AW5" s="456"/>
      <c r="AX5" s="456"/>
      <c r="AY5" s="456"/>
      <c r="AZ5" s="456"/>
    </row>
    <row r="6" spans="2:54" s="237" customFormat="1" ht="27.75" customHeight="1" x14ac:dyDescent="0.3">
      <c r="B6" s="1504" t="s">
        <v>5</v>
      </c>
      <c r="C6" s="1505"/>
      <c r="D6" s="1505"/>
      <c r="E6" s="1505"/>
      <c r="F6" s="1505"/>
      <c r="G6" s="1506"/>
      <c r="H6" s="232"/>
      <c r="I6" s="1520" t="str">
        <f>IF(ISERROR(VLOOKUP(I5,G93:N117,7,0))," ",(VLOOKUP(I5,G93:N117,7,0)))</f>
        <v xml:space="preserve"> </v>
      </c>
      <c r="J6" s="1651"/>
      <c r="K6" s="1651"/>
      <c r="L6" s="1651"/>
      <c r="M6" s="1651"/>
      <c r="N6" s="1651"/>
      <c r="O6" s="1651"/>
      <c r="P6" s="1651"/>
      <c r="Q6" s="1651"/>
      <c r="R6" s="1651"/>
      <c r="S6" s="1651"/>
      <c r="T6" s="1651"/>
      <c r="U6" s="1651"/>
      <c r="V6" s="1651"/>
      <c r="W6" s="1651"/>
      <c r="X6" s="1651"/>
      <c r="Y6" s="1651"/>
      <c r="Z6" s="1651"/>
      <c r="AA6" s="1652"/>
      <c r="AB6" s="474"/>
      <c r="AC6" s="474"/>
      <c r="AD6" s="474"/>
      <c r="AE6" s="473"/>
      <c r="AF6" s="556"/>
      <c r="AG6" s="234"/>
      <c r="AH6" s="234"/>
      <c r="AI6" s="234"/>
      <c r="AJ6" s="457"/>
      <c r="AK6" s="457"/>
      <c r="AL6" s="457"/>
      <c r="AM6" s="457"/>
      <c r="AN6" s="457"/>
      <c r="AO6" s="457"/>
      <c r="AP6" s="457"/>
      <c r="AQ6" s="457"/>
      <c r="AR6" s="458"/>
      <c r="AS6" s="457"/>
      <c r="AT6" s="457"/>
      <c r="AU6" s="457"/>
      <c r="AV6" s="457"/>
      <c r="AW6" s="457"/>
      <c r="AX6" s="456"/>
      <c r="AY6" s="456"/>
      <c r="AZ6" s="456"/>
    </row>
    <row r="7" spans="2:54" s="237" customFormat="1" ht="27.75" customHeight="1" thickBot="1" x14ac:dyDescent="0.3">
      <c r="B7" s="1479" t="s">
        <v>6</v>
      </c>
      <c r="C7" s="1480"/>
      <c r="D7" s="1480"/>
      <c r="E7" s="1480"/>
      <c r="F7" s="1480"/>
      <c r="G7" s="1481"/>
      <c r="H7" s="313"/>
      <c r="I7" s="1653" t="s">
        <v>236</v>
      </c>
      <c r="J7" s="1654"/>
      <c r="K7" s="1654"/>
      <c r="L7" s="1654"/>
      <c r="M7" s="1654"/>
      <c r="N7" s="1654"/>
      <c r="O7" s="1654"/>
      <c r="P7" s="1654"/>
      <c r="Q7" s="1654"/>
      <c r="R7" s="1654"/>
      <c r="S7" s="1654"/>
      <c r="T7" s="1654"/>
      <c r="U7" s="1654"/>
      <c r="V7" s="1654"/>
      <c r="W7" s="1482" t="s">
        <v>7</v>
      </c>
      <c r="X7" s="1483"/>
      <c r="Y7" s="1483"/>
      <c r="Z7" s="1483"/>
      <c r="AA7" s="241">
        <f>SUM(AA11:AA15)</f>
        <v>0.33691577132652184</v>
      </c>
      <c r="AB7" s="474"/>
      <c r="AC7" s="474"/>
      <c r="AD7" s="474"/>
      <c r="AE7" s="474"/>
      <c r="AF7" s="456"/>
      <c r="AG7" s="230"/>
      <c r="AH7" s="230"/>
      <c r="AI7" s="230"/>
      <c r="AJ7" s="456"/>
      <c r="AK7" s="456"/>
      <c r="AL7" s="456"/>
      <c r="AM7" s="456"/>
      <c r="AN7" s="456"/>
      <c r="AO7" s="456"/>
      <c r="AP7" s="456"/>
      <c r="AQ7" s="456"/>
      <c r="AR7" s="430"/>
      <c r="AS7" s="456"/>
      <c r="AT7" s="456"/>
      <c r="AU7" s="456"/>
      <c r="AV7" s="456"/>
      <c r="AW7" s="456"/>
      <c r="AX7" s="456"/>
      <c r="AY7" s="456"/>
      <c r="AZ7" s="456"/>
    </row>
    <row r="8" spans="2:54" s="237" customFormat="1" ht="18" thickBot="1" x14ac:dyDescent="0.3">
      <c r="B8" s="1473" t="s">
        <v>8</v>
      </c>
      <c r="C8" s="1467" t="s">
        <v>9</v>
      </c>
      <c r="D8" s="1486" t="s">
        <v>668</v>
      </c>
      <c r="E8" s="1467" t="s">
        <v>289</v>
      </c>
      <c r="F8" s="1467" t="s">
        <v>285</v>
      </c>
      <c r="G8" s="1462" t="s">
        <v>253</v>
      </c>
      <c r="H8" s="1465" t="s">
        <v>228</v>
      </c>
      <c r="I8" s="1634" t="s">
        <v>11</v>
      </c>
      <c r="J8" s="1473" t="s">
        <v>12</v>
      </c>
      <c r="K8" s="1473" t="s">
        <v>13</v>
      </c>
      <c r="L8" s="1476" t="s">
        <v>14</v>
      </c>
      <c r="M8" s="1477"/>
      <c r="N8" s="1477"/>
      <c r="O8" s="1477"/>
      <c r="P8" s="1477"/>
      <c r="Q8" s="1477"/>
      <c r="R8" s="1477"/>
      <c r="S8" s="1477"/>
      <c r="T8" s="1477"/>
      <c r="U8" s="1477"/>
      <c r="V8" s="1477"/>
      <c r="W8" s="1477"/>
      <c r="X8" s="1477"/>
      <c r="Y8" s="1477"/>
      <c r="Z8" s="1478"/>
      <c r="AA8" s="1497" t="s">
        <v>15</v>
      </c>
      <c r="AB8" s="1488" t="s">
        <v>16</v>
      </c>
      <c r="AC8" s="1489"/>
      <c r="AD8" s="1489"/>
      <c r="AE8" s="1500"/>
      <c r="AF8" s="1501" t="s">
        <v>17</v>
      </c>
      <c r="AG8" s="1455" t="s">
        <v>18</v>
      </c>
      <c r="AH8" s="1456"/>
      <c r="AI8" s="1457"/>
      <c r="AJ8" s="1455" t="s">
        <v>19</v>
      </c>
      <c r="AK8" s="1456"/>
      <c r="AL8" s="1457"/>
      <c r="AM8" s="1455" t="s">
        <v>20</v>
      </c>
      <c r="AN8" s="1456"/>
      <c r="AO8" s="1457"/>
      <c r="AP8" s="1455" t="s">
        <v>21</v>
      </c>
      <c r="AQ8" s="1456"/>
      <c r="AR8" s="1456"/>
      <c r="AS8" s="1656" t="s">
        <v>706</v>
      </c>
      <c r="AT8" s="1566" t="s">
        <v>716</v>
      </c>
      <c r="AU8" s="456"/>
      <c r="AV8" s="456"/>
      <c r="AW8" s="456"/>
      <c r="AX8" s="456"/>
      <c r="AY8" s="456"/>
      <c r="AZ8" s="456"/>
    </row>
    <row r="9" spans="2:54" s="237" customFormat="1" ht="15.75" customHeight="1" x14ac:dyDescent="0.25">
      <c r="B9" s="1484"/>
      <c r="C9" s="1468"/>
      <c r="D9" s="1487"/>
      <c r="E9" s="1468"/>
      <c r="F9" s="1468"/>
      <c r="G9" s="1463"/>
      <c r="H9" s="1466"/>
      <c r="I9" s="1635"/>
      <c r="J9" s="1484"/>
      <c r="K9" s="1484"/>
      <c r="L9" s="1488" t="s">
        <v>22</v>
      </c>
      <c r="M9" s="1489"/>
      <c r="N9" s="1490"/>
      <c r="O9" s="1488" t="s">
        <v>23</v>
      </c>
      <c r="P9" s="1489"/>
      <c r="Q9" s="1490"/>
      <c r="R9" s="1488" t="s">
        <v>24</v>
      </c>
      <c r="S9" s="1489"/>
      <c r="T9" s="1490"/>
      <c r="U9" s="1461" t="s">
        <v>25</v>
      </c>
      <c r="V9" s="1491"/>
      <c r="W9" s="1492"/>
      <c r="X9" s="1488" t="s">
        <v>26</v>
      </c>
      <c r="Y9" s="1489"/>
      <c r="Z9" s="1490"/>
      <c r="AA9" s="1498"/>
      <c r="AB9" s="1495" t="s">
        <v>27</v>
      </c>
      <c r="AC9" s="1492" t="s">
        <v>28</v>
      </c>
      <c r="AD9" s="1461"/>
      <c r="AE9" s="1496" t="s">
        <v>29</v>
      </c>
      <c r="AF9" s="1502"/>
      <c r="AG9" s="1460" t="s">
        <v>30</v>
      </c>
      <c r="AH9" s="1461"/>
      <c r="AI9" s="1458" t="s">
        <v>31</v>
      </c>
      <c r="AJ9" s="1460" t="s">
        <v>30</v>
      </c>
      <c r="AK9" s="1461"/>
      <c r="AL9" s="1458" t="s">
        <v>31</v>
      </c>
      <c r="AM9" s="1460" t="s">
        <v>30</v>
      </c>
      <c r="AN9" s="1461"/>
      <c r="AO9" s="1458" t="s">
        <v>31</v>
      </c>
      <c r="AP9" s="1460" t="s">
        <v>30</v>
      </c>
      <c r="AQ9" s="1461"/>
      <c r="AR9" s="1496" t="s">
        <v>31</v>
      </c>
      <c r="AS9" s="1657"/>
      <c r="AT9" s="1567"/>
      <c r="AU9" s="456"/>
      <c r="AV9" s="456"/>
      <c r="AW9" s="456"/>
      <c r="AX9" s="456"/>
      <c r="AY9" s="456"/>
      <c r="AZ9" s="456"/>
    </row>
    <row r="10" spans="2:54" s="237" customFormat="1" ht="24.75" customHeight="1" thickBot="1" x14ac:dyDescent="0.3">
      <c r="B10" s="1628"/>
      <c r="C10" s="1624"/>
      <c r="D10" s="1629"/>
      <c r="E10" s="1624"/>
      <c r="F10" s="1469"/>
      <c r="G10" s="1464"/>
      <c r="H10" s="1466"/>
      <c r="I10" s="1636"/>
      <c r="J10" s="1485"/>
      <c r="K10" s="1485"/>
      <c r="L10" s="345" t="s">
        <v>32</v>
      </c>
      <c r="M10" s="265" t="s">
        <v>33</v>
      </c>
      <c r="N10" s="546" t="s">
        <v>34</v>
      </c>
      <c r="O10" s="345" t="s">
        <v>32</v>
      </c>
      <c r="P10" s="265" t="s">
        <v>33</v>
      </c>
      <c r="Q10" s="355" t="s">
        <v>34</v>
      </c>
      <c r="R10" s="345" t="s">
        <v>32</v>
      </c>
      <c r="S10" s="265" t="s">
        <v>33</v>
      </c>
      <c r="T10" s="406" t="s">
        <v>34</v>
      </c>
      <c r="U10" s="316" t="s">
        <v>32</v>
      </c>
      <c r="V10" s="265" t="s">
        <v>33</v>
      </c>
      <c r="W10" s="407" t="s">
        <v>34</v>
      </c>
      <c r="X10" s="345" t="s">
        <v>35</v>
      </c>
      <c r="Y10" s="265" t="s">
        <v>36</v>
      </c>
      <c r="Z10" s="355" t="s">
        <v>34</v>
      </c>
      <c r="AA10" s="1499"/>
      <c r="AB10" s="1655"/>
      <c r="AC10" s="243" t="s">
        <v>37</v>
      </c>
      <c r="AD10" s="243" t="s">
        <v>38</v>
      </c>
      <c r="AE10" s="1438"/>
      <c r="AF10" s="1610"/>
      <c r="AG10" s="242" t="s">
        <v>37</v>
      </c>
      <c r="AH10" s="243" t="s">
        <v>38</v>
      </c>
      <c r="AI10" s="1459"/>
      <c r="AJ10" s="242" t="s">
        <v>37</v>
      </c>
      <c r="AK10" s="243" t="s">
        <v>38</v>
      </c>
      <c r="AL10" s="1459"/>
      <c r="AM10" s="242" t="s">
        <v>37</v>
      </c>
      <c r="AN10" s="243" t="s">
        <v>38</v>
      </c>
      <c r="AO10" s="1459"/>
      <c r="AP10" s="242" t="s">
        <v>37</v>
      </c>
      <c r="AQ10" s="243" t="s">
        <v>38</v>
      </c>
      <c r="AR10" s="1438"/>
      <c r="AS10" s="1658"/>
      <c r="AT10" s="1568"/>
      <c r="AU10" s="456"/>
      <c r="AV10" s="456"/>
      <c r="AW10" s="456"/>
      <c r="AX10" s="456"/>
      <c r="AY10" s="456"/>
      <c r="AZ10" s="456"/>
    </row>
    <row r="11" spans="2:54" s="237" customFormat="1" ht="68.25" customHeight="1" x14ac:dyDescent="0.25">
      <c r="B11" s="1617" t="s">
        <v>211</v>
      </c>
      <c r="C11" s="1621">
        <v>1</v>
      </c>
      <c r="D11" s="1618" t="s">
        <v>663</v>
      </c>
      <c r="E11" s="1625">
        <v>0.25</v>
      </c>
      <c r="F11" s="712" t="s">
        <v>286</v>
      </c>
      <c r="G11" s="758" t="s">
        <v>702</v>
      </c>
      <c r="H11" s="756">
        <v>21</v>
      </c>
      <c r="I11" s="501">
        <v>0.2</v>
      </c>
      <c r="J11" s="244" t="s">
        <v>42</v>
      </c>
      <c r="K11" s="245" t="s">
        <v>40</v>
      </c>
      <c r="L11" s="514">
        <f>+AH11</f>
        <v>3</v>
      </c>
      <c r="M11" s="495">
        <f t="shared" ref="M11:M24" si="0">IF(J11="Cantidad",AG11,IF(ISERROR(AG11/AH11),0,AG11/AH11))</f>
        <v>3</v>
      </c>
      <c r="N11" s="700">
        <f t="shared" ref="N11:N24" si="1">IF(ISERROR(M11/L11),0,(M11/L11))</f>
        <v>1</v>
      </c>
      <c r="O11" s="661">
        <f>+AK11</f>
        <v>18</v>
      </c>
      <c r="P11" s="495">
        <f>IF(J11="Cantidad",AJ11,IF(ISERROR(AJ11/AK11),0,AJ11/AK11))</f>
        <v>10</v>
      </c>
      <c r="Q11" s="496">
        <f>IF(ISERROR(P11/O11),0,(P11/O11))</f>
        <v>0.55555555555555558</v>
      </c>
      <c r="R11" s="661">
        <f>+AN11</f>
        <v>2</v>
      </c>
      <c r="S11" s="495">
        <f>IF(J11="Cantidad",AM11,IF(ISERROR(AM11/AN11),0,AM11/AN11))</f>
        <v>3</v>
      </c>
      <c r="T11" s="496">
        <f t="shared" ref="T11:T12" si="2">IF(ISERROR(S11/R11),0,(S11/R11))</f>
        <v>1.5</v>
      </c>
      <c r="U11" s="661">
        <f>+AQ11</f>
        <v>2</v>
      </c>
      <c r="V11" s="495">
        <f>IF(J11="Cantidad",AP11,IF(ISERROR(AP11/AQ11),0,AP11/AQ11))</f>
        <v>0</v>
      </c>
      <c r="W11" s="496">
        <f t="shared" ref="W11:W12" si="3">IF(ISERROR(V11/U11),0,(V11/U11))</f>
        <v>0</v>
      </c>
      <c r="X11" s="514">
        <f t="shared" ref="X11:X21" si="4">IF(K11="SUMA",(L11+O11+R11+U11),(L11))</f>
        <v>25</v>
      </c>
      <c r="Y11" s="495">
        <f>+M11+P11+S11+V11</f>
        <v>16</v>
      </c>
      <c r="Z11" s="662">
        <f>IF(ISERROR(Y11/X11),0,(Y11/X11))</f>
        <v>0.64</v>
      </c>
      <c r="AA11" s="742">
        <f t="shared" ref="AA11:AA21" si="5">+Z11*I11</f>
        <v>0.128</v>
      </c>
      <c r="AB11" s="739" t="s">
        <v>443</v>
      </c>
      <c r="AC11" s="656" t="s">
        <v>314</v>
      </c>
      <c r="AD11" s="476" t="s">
        <v>428</v>
      </c>
      <c r="AE11" s="558" t="s">
        <v>43</v>
      </c>
      <c r="AF11" s="563" t="s">
        <v>320</v>
      </c>
      <c r="AG11" s="438">
        <v>3</v>
      </c>
      <c r="AH11" s="441">
        <v>3</v>
      </c>
      <c r="AI11" s="278" t="s">
        <v>665</v>
      </c>
      <c r="AJ11" s="339">
        <v>10</v>
      </c>
      <c r="AK11" s="340">
        <f>6+3+9</f>
        <v>18</v>
      </c>
      <c r="AL11" s="459"/>
      <c r="AM11" s="339">
        <v>3</v>
      </c>
      <c r="AN11" s="340">
        <v>2</v>
      </c>
      <c r="AO11" s="459"/>
      <c r="AP11" s="339"/>
      <c r="AQ11" s="340">
        <v>2</v>
      </c>
      <c r="AR11" s="704"/>
      <c r="AS11" s="1656" t="s">
        <v>707</v>
      </c>
      <c r="AT11" s="1662">
        <f>SUM(AA11:AA15)</f>
        <v>0.33691577132652184</v>
      </c>
      <c r="AU11" s="456"/>
      <c r="AV11" s="456"/>
      <c r="AW11" s="456"/>
      <c r="AX11" s="456"/>
      <c r="AY11" s="460"/>
      <c r="AZ11" s="460"/>
      <c r="BA11" s="452"/>
      <c r="BB11" s="452"/>
    </row>
    <row r="12" spans="2:54" s="237" customFormat="1" ht="207" x14ac:dyDescent="0.25">
      <c r="B12" s="1611"/>
      <c r="C12" s="1622"/>
      <c r="D12" s="1619"/>
      <c r="E12" s="1626"/>
      <c r="F12" s="760" t="s">
        <v>288</v>
      </c>
      <c r="G12" s="759" t="s">
        <v>703</v>
      </c>
      <c r="H12" s="757">
        <v>14</v>
      </c>
      <c r="I12" s="502">
        <v>0.2</v>
      </c>
      <c r="J12" s="255" t="s">
        <v>42</v>
      </c>
      <c r="K12" s="361" t="s">
        <v>40</v>
      </c>
      <c r="L12" s="510">
        <f>+AH12</f>
        <v>2</v>
      </c>
      <c r="M12" s="515">
        <f t="shared" si="0"/>
        <v>2</v>
      </c>
      <c r="N12" s="361">
        <f t="shared" si="1"/>
        <v>1</v>
      </c>
      <c r="O12" s="510">
        <f>+AK12</f>
        <v>6</v>
      </c>
      <c r="P12" s="378">
        <f>IF(J12="Cantidad",AJ12,IF(ISERROR(AJ12/AK12),0,AJ12/AK12))</f>
        <v>4</v>
      </c>
      <c r="Q12" s="256">
        <f>IF(ISERROR(P12/O12),0,(P12/O12))</f>
        <v>0.66666666666666663</v>
      </c>
      <c r="R12" s="510">
        <f>+AN12</f>
        <v>3</v>
      </c>
      <c r="S12" s="515">
        <f t="shared" ref="S12" si="6">IF(J12="Cantidad",AM12,IF(ISERROR(AM12/AN12),0,AM12/AN12))</f>
        <v>3</v>
      </c>
      <c r="T12" s="256">
        <f t="shared" si="2"/>
        <v>1</v>
      </c>
      <c r="U12" s="510">
        <f>+AQ12</f>
        <v>6</v>
      </c>
      <c r="V12" s="515">
        <f t="shared" ref="V12" si="7">IF(J12="Cantidad",AP12,IF(ISERROR(AP12/AQ12),0,AP12/AQ12))</f>
        <v>0</v>
      </c>
      <c r="W12" s="256">
        <f t="shared" si="3"/>
        <v>0</v>
      </c>
      <c r="X12" s="510">
        <f t="shared" si="4"/>
        <v>17</v>
      </c>
      <c r="Y12" s="515">
        <f t="shared" ref="Y12" si="8">IF(ISERROR(AVERAGE(M12,P12,S12,V12)),0,IF(K12="Suma",(M12+P12+S12+V12),AVERAGE(M12,P12,S12,V12)))</f>
        <v>9</v>
      </c>
      <c r="Z12" s="453">
        <f t="shared" ref="Z12" si="9">IF(ISERROR(Y12/X12),0,(Y12/X12))</f>
        <v>0.52941176470588236</v>
      </c>
      <c r="AA12" s="743">
        <f t="shared" si="5"/>
        <v>0.10588235294117648</v>
      </c>
      <c r="AB12" s="740" t="s">
        <v>442</v>
      </c>
      <c r="AC12" s="511" t="s">
        <v>314</v>
      </c>
      <c r="AD12" s="498" t="s">
        <v>428</v>
      </c>
      <c r="AE12" s="559" t="s">
        <v>43</v>
      </c>
      <c r="AF12" s="564" t="s">
        <v>321</v>
      </c>
      <c r="AG12" s="437">
        <v>2</v>
      </c>
      <c r="AH12" s="439">
        <v>2</v>
      </c>
      <c r="AI12" s="259" t="s">
        <v>773</v>
      </c>
      <c r="AJ12" s="461">
        <v>4</v>
      </c>
      <c r="AK12" s="404">
        <v>6</v>
      </c>
      <c r="AL12" s="462" t="s">
        <v>772</v>
      </c>
      <c r="AM12" s="461">
        <v>3</v>
      </c>
      <c r="AN12" s="404">
        <v>3</v>
      </c>
      <c r="AO12" s="462"/>
      <c r="AP12" s="461"/>
      <c r="AQ12" s="404">
        <v>6</v>
      </c>
      <c r="AR12" s="705"/>
      <c r="AS12" s="1657"/>
      <c r="AT12" s="1567"/>
      <c r="AU12" s="456"/>
      <c r="AV12" s="456"/>
      <c r="AW12" s="456"/>
      <c r="AX12" s="456"/>
      <c r="AY12" s="456"/>
      <c r="AZ12" s="456"/>
    </row>
    <row r="13" spans="2:54" s="237" customFormat="1" ht="58.5" customHeight="1" x14ac:dyDescent="0.25">
      <c r="B13" s="1611"/>
      <c r="C13" s="1622"/>
      <c r="D13" s="1619"/>
      <c r="E13" s="1626"/>
      <c r="F13" s="761">
        <v>1.3</v>
      </c>
      <c r="G13" s="759" t="s">
        <v>667</v>
      </c>
      <c r="H13" s="491">
        <v>8.5000000000000006E-2</v>
      </c>
      <c r="I13" s="502">
        <v>0.2</v>
      </c>
      <c r="J13" s="255" t="s">
        <v>39</v>
      </c>
      <c r="K13" s="361" t="s">
        <v>106</v>
      </c>
      <c r="L13" s="500">
        <v>0.03</v>
      </c>
      <c r="M13" s="513">
        <f t="shared" si="0"/>
        <v>1.2552301255230125E-2</v>
      </c>
      <c r="N13" s="361">
        <v>1</v>
      </c>
      <c r="O13" s="255">
        <v>0.03</v>
      </c>
      <c r="P13" s="1352">
        <f>IF(J13="Cantidad",AJ13,IF(ISERROR(AJ13/AK13),0,AJ13/AK13))</f>
        <v>1.0101010101010102E-2</v>
      </c>
      <c r="Q13" s="256">
        <v>1</v>
      </c>
      <c r="R13" s="255">
        <v>0.03</v>
      </c>
      <c r="S13" s="1352">
        <f t="shared" ref="S13:S14" si="10">IF(J13="Cantidad",AM13,IF(ISERROR(AM13/AN13),0,AM13/AN13))</f>
        <v>6.0283687943262408E-2</v>
      </c>
      <c r="T13" s="256">
        <f t="shared" ref="T13:T14" si="11">IF(ISERROR(S13/R13),0,(S13/R13))</f>
        <v>2.0094562647754137</v>
      </c>
      <c r="U13" s="255">
        <v>0.03</v>
      </c>
      <c r="V13" s="515">
        <f t="shared" ref="V13:V14" si="12">IF(J13="Cantidad",AP13,IF(ISERROR(AP13/AQ13),0,AP13/AQ13))</f>
        <v>0</v>
      </c>
      <c r="W13" s="256">
        <f t="shared" ref="W13:W14" si="13">IF(ISERROR(V13/U13),0,(V13/U13))</f>
        <v>0</v>
      </c>
      <c r="X13" s="510">
        <f t="shared" si="4"/>
        <v>0.03</v>
      </c>
      <c r="Y13" s="520">
        <v>0.01</v>
      </c>
      <c r="Z13" s="453">
        <f t="shared" ref="Z13" si="14">IF(ISERROR(Y13/X13),0,(Y13/X13))</f>
        <v>0.33333333333333337</v>
      </c>
      <c r="AA13" s="743">
        <f t="shared" ref="AA13:AA14" si="15">+Z13*I13</f>
        <v>6.666666666666668E-2</v>
      </c>
      <c r="AB13" s="740" t="s">
        <v>669</v>
      </c>
      <c r="AC13" s="511" t="s">
        <v>672</v>
      </c>
      <c r="AD13" s="498" t="s">
        <v>671</v>
      </c>
      <c r="AE13" s="559" t="s">
        <v>43</v>
      </c>
      <c r="AF13" s="564" t="s">
        <v>670</v>
      </c>
      <c r="AG13" s="437">
        <v>3</v>
      </c>
      <c r="AH13" s="439">
        <v>239</v>
      </c>
      <c r="AI13" s="259" t="s">
        <v>775</v>
      </c>
      <c r="AJ13" s="461">
        <v>3</v>
      </c>
      <c r="AK13" s="404">
        <v>297</v>
      </c>
      <c r="AL13" s="462" t="s">
        <v>774</v>
      </c>
      <c r="AM13" s="461">
        <v>17</v>
      </c>
      <c r="AN13" s="404">
        <v>282</v>
      </c>
      <c r="AO13" s="462"/>
      <c r="AP13" s="461"/>
      <c r="AQ13" s="404"/>
      <c r="AR13" s="705"/>
      <c r="AS13" s="1657"/>
      <c r="AT13" s="1567"/>
      <c r="AU13" s="456"/>
      <c r="AV13" s="456"/>
      <c r="AW13" s="456"/>
      <c r="AX13" s="456"/>
      <c r="AY13" s="456"/>
      <c r="AZ13" s="456"/>
    </row>
    <row r="14" spans="2:54" s="237" customFormat="1" ht="159.75" customHeight="1" x14ac:dyDescent="0.25">
      <c r="B14" s="1611"/>
      <c r="C14" s="1622"/>
      <c r="D14" s="1619"/>
      <c r="E14" s="1626"/>
      <c r="F14" s="761">
        <v>1.4</v>
      </c>
      <c r="G14" s="759" t="s">
        <v>704</v>
      </c>
      <c r="H14" s="361">
        <v>0.44</v>
      </c>
      <c r="I14" s="502">
        <v>0.2</v>
      </c>
      <c r="J14" s="255" t="s">
        <v>42</v>
      </c>
      <c r="K14" s="361" t="s">
        <v>40</v>
      </c>
      <c r="L14" s="654">
        <v>25</v>
      </c>
      <c r="M14" s="378">
        <f t="shared" si="0"/>
        <v>10</v>
      </c>
      <c r="N14" s="361">
        <f t="shared" si="1"/>
        <v>0.4</v>
      </c>
      <c r="O14" s="510">
        <f>7+5+6</f>
        <v>18</v>
      </c>
      <c r="P14" s="378">
        <f>IF(J14="Cantidad",AJ14,IF(ISERROR(AJ14/AK14),0,AJ14/AK14))</f>
        <v>8</v>
      </c>
      <c r="Q14" s="256">
        <f t="shared" ref="Q14:Q15" si="16">IF(ISERROR(P14/O14),0,(P14/O14))</f>
        <v>0.44444444444444442</v>
      </c>
      <c r="R14" s="510">
        <f>1+1+5</f>
        <v>7</v>
      </c>
      <c r="S14" s="515">
        <f t="shared" si="10"/>
        <v>1</v>
      </c>
      <c r="T14" s="256">
        <f t="shared" si="11"/>
        <v>0.14285714285714285</v>
      </c>
      <c r="U14" s="510">
        <f>5+1+7</f>
        <v>13</v>
      </c>
      <c r="V14" s="515">
        <f t="shared" si="12"/>
        <v>0</v>
      </c>
      <c r="W14" s="256">
        <f t="shared" si="13"/>
        <v>0</v>
      </c>
      <c r="X14" s="510">
        <f t="shared" si="4"/>
        <v>63</v>
      </c>
      <c r="Y14" s="515">
        <f>+M14</f>
        <v>10</v>
      </c>
      <c r="Z14" s="256">
        <f t="shared" ref="Z14:Z21" si="17">IF(ISERROR(Y14/X14),0,(Y14/X14))</f>
        <v>0.15873015873015872</v>
      </c>
      <c r="AA14" s="743">
        <f t="shared" si="15"/>
        <v>3.1746031746031744E-2</v>
      </c>
      <c r="AB14" s="740" t="s">
        <v>673</v>
      </c>
      <c r="AC14" s="511" t="s">
        <v>674</v>
      </c>
      <c r="AD14" s="498" t="s">
        <v>675</v>
      </c>
      <c r="AE14" s="559" t="s">
        <v>43</v>
      </c>
      <c r="AF14" s="564" t="s">
        <v>670</v>
      </c>
      <c r="AG14" s="437">
        <v>10</v>
      </c>
      <c r="AH14" s="439">
        <f>8+7+10</f>
        <v>25</v>
      </c>
      <c r="AI14" s="259" t="s">
        <v>666</v>
      </c>
      <c r="AJ14" s="461">
        <v>8</v>
      </c>
      <c r="AK14" s="404">
        <v>18</v>
      </c>
      <c r="AL14" s="462" t="s">
        <v>776</v>
      </c>
      <c r="AM14" s="461">
        <v>1</v>
      </c>
      <c r="AN14" s="404">
        <v>7</v>
      </c>
      <c r="AO14" s="462"/>
      <c r="AP14" s="461"/>
      <c r="AQ14" s="404">
        <v>13</v>
      </c>
      <c r="AR14" s="705"/>
      <c r="AS14" s="1657"/>
      <c r="AT14" s="1567"/>
      <c r="AU14" s="456"/>
      <c r="AV14" s="456"/>
      <c r="AW14" s="456"/>
      <c r="AX14" s="456"/>
      <c r="AY14" s="456"/>
      <c r="AZ14" s="456"/>
    </row>
    <row r="15" spans="2:54" s="237" customFormat="1" ht="80.25" customHeight="1" thickBot="1" x14ac:dyDescent="0.3">
      <c r="B15" s="1612"/>
      <c r="C15" s="1623"/>
      <c r="D15" s="1620"/>
      <c r="E15" s="1627"/>
      <c r="F15" s="1141">
        <v>1.5</v>
      </c>
      <c r="G15" s="316" t="s">
        <v>662</v>
      </c>
      <c r="H15" s="546">
        <v>0.48</v>
      </c>
      <c r="I15" s="547">
        <v>0.2</v>
      </c>
      <c r="J15" s="548" t="s">
        <v>39</v>
      </c>
      <c r="K15" s="546" t="s">
        <v>40</v>
      </c>
      <c r="L15" s="701">
        <v>0.76500000000000001</v>
      </c>
      <c r="M15" s="525">
        <f t="shared" si="0"/>
        <v>0.76500000000000001</v>
      </c>
      <c r="N15" s="702">
        <f t="shared" si="1"/>
        <v>1</v>
      </c>
      <c r="O15" s="720">
        <v>0.8</v>
      </c>
      <c r="P15" s="525">
        <f t="shared" ref="P15" si="18">IF(M15="Cantidad",AJ15,IF(ISERROR(AJ15/AK15),0,AJ15/AK15))</f>
        <v>0.8</v>
      </c>
      <c r="Q15" s="658">
        <f t="shared" si="16"/>
        <v>1</v>
      </c>
      <c r="R15" s="720">
        <v>0.8</v>
      </c>
      <c r="S15" s="525">
        <f t="shared" ref="S15:S21" si="19">IF(J15="Cantidad",AM15,IF(ISERROR(AM15/AN15),0,AM15/AN15))</f>
        <v>0.8</v>
      </c>
      <c r="T15" s="658">
        <f t="shared" ref="T15:T21" si="20">IF(ISERROR(S15/R15),0,(S15/R15))</f>
        <v>1</v>
      </c>
      <c r="U15" s="523">
        <v>100</v>
      </c>
      <c r="V15" s="657">
        <f t="shared" ref="V15:V21" si="21">IF(J15="Cantidad",AP15,IF(ISERROR(AP15/AQ15),0,AP15/AQ15))</f>
        <v>0</v>
      </c>
      <c r="W15" s="658">
        <f t="shared" ref="W15:W21" si="22">IF(ISERROR(V15/U15),0,(V15/U15))</f>
        <v>0</v>
      </c>
      <c r="X15" s="451">
        <f t="shared" si="4"/>
        <v>102.36499999999999</v>
      </c>
      <c r="Y15" s="657">
        <f t="shared" ref="Y15:Y21" si="23">IF(ISERROR(AVERAGE(M15,P15,S15,V15)),0,IF(K15="Suma",(M15+P15+S15+V15),AVERAGE(M15,P15,S15,V15)))</f>
        <v>2.3650000000000002</v>
      </c>
      <c r="Z15" s="658">
        <f t="shared" si="17"/>
        <v>2.3103599863234507E-2</v>
      </c>
      <c r="AA15" s="744">
        <f t="shared" ref="AA15:AA19" si="24">+Z15*I15</f>
        <v>4.620719972646902E-3</v>
      </c>
      <c r="AB15" s="745" t="s">
        <v>446</v>
      </c>
      <c r="AC15" s="663" t="s">
        <v>430</v>
      </c>
      <c r="AD15" s="557" t="s">
        <v>429</v>
      </c>
      <c r="AE15" s="560" t="s">
        <v>43</v>
      </c>
      <c r="AF15" s="565" t="s">
        <v>427</v>
      </c>
      <c r="AG15" s="345">
        <v>76.5</v>
      </c>
      <c r="AH15" s="265">
        <v>100</v>
      </c>
      <c r="AI15" s="275" t="s">
        <v>777</v>
      </c>
      <c r="AJ15" s="724">
        <v>80</v>
      </c>
      <c r="AK15" s="725">
        <v>100</v>
      </c>
      <c r="AL15" s="355" t="s">
        <v>778</v>
      </c>
      <c r="AM15" s="724">
        <v>80</v>
      </c>
      <c r="AN15" s="725">
        <v>100</v>
      </c>
      <c r="AO15" s="726"/>
      <c r="AP15" s="724"/>
      <c r="AQ15" s="725"/>
      <c r="AR15" s="727"/>
      <c r="AS15" s="1658"/>
      <c r="AT15" s="1568"/>
      <c r="AU15" s="456"/>
      <c r="AV15" s="456"/>
      <c r="AW15" s="456"/>
      <c r="AX15" s="456"/>
      <c r="AY15" s="456"/>
      <c r="AZ15" s="456"/>
    </row>
    <row r="16" spans="2:54" s="237" customFormat="1" ht="34.5" x14ac:dyDescent="0.25">
      <c r="B16" s="1611" t="s">
        <v>598</v>
      </c>
      <c r="C16" s="1603">
        <v>2</v>
      </c>
      <c r="D16" s="1614" t="s">
        <v>663</v>
      </c>
      <c r="E16" s="1625">
        <v>0.35</v>
      </c>
      <c r="F16" s="712" t="s">
        <v>276</v>
      </c>
      <c r="G16" s="1417" t="s">
        <v>657</v>
      </c>
      <c r="H16" s="245">
        <v>0.93</v>
      </c>
      <c r="I16" s="501">
        <v>0.2</v>
      </c>
      <c r="J16" s="244" t="s">
        <v>39</v>
      </c>
      <c r="K16" s="245" t="s">
        <v>40</v>
      </c>
      <c r="L16" s="703">
        <v>0.25</v>
      </c>
      <c r="M16" s="524">
        <f t="shared" si="0"/>
        <v>0.31744735352809067</v>
      </c>
      <c r="N16" s="700">
        <f t="shared" si="1"/>
        <v>1.2697894141123627</v>
      </c>
      <c r="O16" s="497">
        <v>0.25</v>
      </c>
      <c r="P16" s="524">
        <f t="shared" ref="P16:P21" si="25">IF(M16="Cantidad",AJ16,IF(ISERROR(AJ16/AK16),0,AJ16/AK16))</f>
        <v>0.14046014370404827</v>
      </c>
      <c r="Q16" s="496">
        <f t="shared" ref="Q16:Q21" si="26">IF(ISERROR(P16/O16),0,(P16/O16))</f>
        <v>0.56184057481619309</v>
      </c>
      <c r="R16" s="497">
        <v>0.25</v>
      </c>
      <c r="S16" s="524">
        <f t="shared" si="19"/>
        <v>0.40102933052406942</v>
      </c>
      <c r="T16" s="496">
        <f t="shared" si="20"/>
        <v>1.6041173220962777</v>
      </c>
      <c r="U16" s="497">
        <v>0.25</v>
      </c>
      <c r="V16" s="495">
        <f t="shared" si="21"/>
        <v>0</v>
      </c>
      <c r="W16" s="496">
        <f t="shared" si="22"/>
        <v>0</v>
      </c>
      <c r="X16" s="514">
        <f t="shared" si="4"/>
        <v>1</v>
      </c>
      <c r="Y16" s="524">
        <f t="shared" si="23"/>
        <v>0.85893682775620839</v>
      </c>
      <c r="Z16" s="496">
        <f t="shared" si="17"/>
        <v>0.85893682775620839</v>
      </c>
      <c r="AA16" s="742">
        <f t="shared" si="24"/>
        <v>0.17178736555124169</v>
      </c>
      <c r="AB16" s="739" t="s">
        <v>676</v>
      </c>
      <c r="AC16" s="656" t="s">
        <v>701</v>
      </c>
      <c r="AD16" s="476" t="s">
        <v>678</v>
      </c>
      <c r="AE16" s="558" t="s">
        <v>43</v>
      </c>
      <c r="AF16" s="721" t="s">
        <v>677</v>
      </c>
      <c r="AG16" s="732">
        <v>7869257365</v>
      </c>
      <c r="AH16" s="733">
        <v>24789173000</v>
      </c>
      <c r="AI16" s="734"/>
      <c r="AJ16" s="732">
        <f>11322915678-AG16</f>
        <v>3453658313</v>
      </c>
      <c r="AK16" s="733">
        <v>24588173000</v>
      </c>
      <c r="AL16" s="459"/>
      <c r="AM16" s="732">
        <f>(21183494235-AJ16-AG16)</f>
        <v>9860578557</v>
      </c>
      <c r="AN16" s="733">
        <v>24588173000</v>
      </c>
      <c r="AO16" s="459"/>
      <c r="AP16" s="732"/>
      <c r="AQ16" s="733">
        <f>+AN16</f>
        <v>24588173000</v>
      </c>
      <c r="AR16" s="459"/>
      <c r="AS16" s="1659" t="s">
        <v>708</v>
      </c>
      <c r="AT16" s="1662">
        <f>SUM(AA16:AA21)</f>
        <v>0.98338655143990161</v>
      </c>
      <c r="AU16" s="456"/>
      <c r="AV16" s="456"/>
      <c r="AW16" s="456"/>
      <c r="AX16" s="456"/>
      <c r="AY16" s="456"/>
      <c r="AZ16" s="456"/>
    </row>
    <row r="17" spans="2:52" s="237" customFormat="1" ht="51.75" x14ac:dyDescent="0.25">
      <c r="B17" s="1611"/>
      <c r="C17" s="1613"/>
      <c r="D17" s="1615"/>
      <c r="E17" s="1626"/>
      <c r="F17" s="761">
        <v>2.2000000000000002</v>
      </c>
      <c r="G17" s="1415" t="s">
        <v>658</v>
      </c>
      <c r="H17" s="361">
        <v>0.83</v>
      </c>
      <c r="I17" s="502">
        <v>0.1</v>
      </c>
      <c r="J17" s="255" t="s">
        <v>39</v>
      </c>
      <c r="K17" s="361" t="s">
        <v>40</v>
      </c>
      <c r="L17" s="548">
        <v>0.25</v>
      </c>
      <c r="M17" s="513">
        <f t="shared" si="0"/>
        <v>0.28914947623879483</v>
      </c>
      <c r="N17" s="361">
        <f t="shared" si="1"/>
        <v>1.1565979049551793</v>
      </c>
      <c r="O17" s="553">
        <v>0.25</v>
      </c>
      <c r="P17" s="1176">
        <f t="shared" si="25"/>
        <v>0.19780827624473341</v>
      </c>
      <c r="Q17" s="256">
        <f t="shared" si="26"/>
        <v>0.79123310497893362</v>
      </c>
      <c r="R17" s="553">
        <v>0.25</v>
      </c>
      <c r="S17" s="1352">
        <f t="shared" si="19"/>
        <v>0.16268302793895448</v>
      </c>
      <c r="T17" s="256">
        <f t="shared" si="20"/>
        <v>0.65073211175581791</v>
      </c>
      <c r="U17" s="553">
        <v>0.25</v>
      </c>
      <c r="V17" s="515">
        <f t="shared" si="21"/>
        <v>0</v>
      </c>
      <c r="W17" s="256">
        <f t="shared" si="22"/>
        <v>0</v>
      </c>
      <c r="X17" s="553">
        <f t="shared" si="4"/>
        <v>1</v>
      </c>
      <c r="Y17" s="513">
        <f t="shared" si="23"/>
        <v>0.64964078042248274</v>
      </c>
      <c r="Z17" s="256">
        <f t="shared" si="17"/>
        <v>0.64964078042248274</v>
      </c>
      <c r="AA17" s="743">
        <f t="shared" si="24"/>
        <v>6.4964078042248283E-2</v>
      </c>
      <c r="AB17" s="740" t="s">
        <v>682</v>
      </c>
      <c r="AC17" s="511" t="s">
        <v>701</v>
      </c>
      <c r="AD17" s="469" t="s">
        <v>678</v>
      </c>
      <c r="AE17" s="559" t="s">
        <v>43</v>
      </c>
      <c r="AF17" s="722" t="s">
        <v>677</v>
      </c>
      <c r="AG17" s="735">
        <v>1651360128</v>
      </c>
      <c r="AH17" s="730">
        <v>5711095000</v>
      </c>
      <c r="AI17" s="736"/>
      <c r="AJ17" s="1218">
        <v>1126536925</v>
      </c>
      <c r="AK17" s="731">
        <v>5695095000</v>
      </c>
      <c r="AL17" s="462"/>
      <c r="AM17" s="735">
        <f>3704392352-AJ17-AG17</f>
        <v>926495299</v>
      </c>
      <c r="AN17" s="731">
        <v>5695095000</v>
      </c>
      <c r="AO17" s="462"/>
      <c r="AP17" s="461"/>
      <c r="AQ17" s="731">
        <f>+AN17</f>
        <v>5695095000</v>
      </c>
      <c r="AR17" s="462"/>
      <c r="AS17" s="1660"/>
      <c r="AT17" s="1567"/>
      <c r="AU17" s="456"/>
      <c r="AV17" s="456"/>
      <c r="AW17" s="456"/>
      <c r="AX17" s="456"/>
      <c r="AY17" s="456"/>
      <c r="AZ17" s="456"/>
    </row>
    <row r="18" spans="2:52" s="237" customFormat="1" ht="51.75" x14ac:dyDescent="0.25">
      <c r="B18" s="1611"/>
      <c r="C18" s="1613"/>
      <c r="D18" s="1615"/>
      <c r="E18" s="1626"/>
      <c r="F18" s="761">
        <v>2.2999999999999998</v>
      </c>
      <c r="G18" s="1415" t="s">
        <v>659</v>
      </c>
      <c r="H18" s="361">
        <v>0.94</v>
      </c>
      <c r="I18" s="502">
        <v>0.1</v>
      </c>
      <c r="J18" s="255" t="s">
        <v>39</v>
      </c>
      <c r="K18" s="361" t="s">
        <v>40</v>
      </c>
      <c r="L18" s="548">
        <v>0.25</v>
      </c>
      <c r="M18" s="513">
        <f t="shared" si="0"/>
        <v>0.32624613631028271</v>
      </c>
      <c r="N18" s="361">
        <f t="shared" si="1"/>
        <v>1.3049845452411308</v>
      </c>
      <c r="O18" s="553">
        <v>0.25</v>
      </c>
      <c r="P18" s="1176">
        <f t="shared" si="25"/>
        <v>0.21060768203042404</v>
      </c>
      <c r="Q18" s="256">
        <f t="shared" si="26"/>
        <v>0.84243072812169617</v>
      </c>
      <c r="R18" s="553">
        <v>0.25</v>
      </c>
      <c r="S18" s="1352">
        <f t="shared" si="19"/>
        <v>0.38439740766433084</v>
      </c>
      <c r="T18" s="256">
        <f t="shared" si="20"/>
        <v>1.5375896306573233</v>
      </c>
      <c r="U18" s="553">
        <v>0.25</v>
      </c>
      <c r="V18" s="515">
        <f t="shared" si="21"/>
        <v>0</v>
      </c>
      <c r="W18" s="256">
        <f t="shared" si="22"/>
        <v>0</v>
      </c>
      <c r="X18" s="553">
        <f t="shared" si="4"/>
        <v>1</v>
      </c>
      <c r="Y18" s="513">
        <f t="shared" si="23"/>
        <v>0.92125122600503762</v>
      </c>
      <c r="Z18" s="256">
        <f t="shared" si="17"/>
        <v>0.92125122600503762</v>
      </c>
      <c r="AA18" s="743">
        <f t="shared" si="24"/>
        <v>9.2125122600503762E-2</v>
      </c>
      <c r="AB18" s="740" t="s">
        <v>681</v>
      </c>
      <c r="AC18" s="511" t="s">
        <v>701</v>
      </c>
      <c r="AD18" s="469" t="s">
        <v>678</v>
      </c>
      <c r="AE18" s="559" t="s">
        <v>43</v>
      </c>
      <c r="AF18" s="722" t="s">
        <v>677</v>
      </c>
      <c r="AG18" s="735">
        <v>6217624313</v>
      </c>
      <c r="AH18" s="730">
        <v>19058078000</v>
      </c>
      <c r="AI18" s="259"/>
      <c r="AJ18" s="1218">
        <f>(10196651677-AG18)</f>
        <v>3979027364</v>
      </c>
      <c r="AK18" s="731">
        <v>18893078000</v>
      </c>
      <c r="AL18" s="462"/>
      <c r="AM18" s="735">
        <f>(17459101883-AJ18-AG18)</f>
        <v>7262450206</v>
      </c>
      <c r="AN18" s="731">
        <v>18893078000</v>
      </c>
      <c r="AO18" s="462"/>
      <c r="AP18" s="461"/>
      <c r="AQ18" s="731">
        <f>+AN18</f>
        <v>18893078000</v>
      </c>
      <c r="AR18" s="462"/>
      <c r="AS18" s="1660"/>
      <c r="AT18" s="1567"/>
      <c r="AU18" s="456"/>
      <c r="AV18" s="456"/>
      <c r="AW18" s="456"/>
      <c r="AX18" s="456"/>
      <c r="AY18" s="456"/>
      <c r="AZ18" s="456"/>
    </row>
    <row r="19" spans="2:52" s="237" customFormat="1" ht="34.5" x14ac:dyDescent="0.25">
      <c r="B19" s="1611"/>
      <c r="C19" s="1613"/>
      <c r="D19" s="1615"/>
      <c r="E19" s="1626"/>
      <c r="F19" s="761">
        <v>2.4</v>
      </c>
      <c r="G19" s="1415" t="s">
        <v>660</v>
      </c>
      <c r="H19" s="361">
        <v>0.88</v>
      </c>
      <c r="I19" s="502">
        <v>0.2</v>
      </c>
      <c r="J19" s="255" t="s">
        <v>39</v>
      </c>
      <c r="K19" s="361" t="s">
        <v>40</v>
      </c>
      <c r="L19" s="548">
        <v>0.25</v>
      </c>
      <c r="M19" s="513">
        <f t="shared" si="0"/>
        <v>4.4835365181403991E-2</v>
      </c>
      <c r="N19" s="361">
        <f t="shared" si="1"/>
        <v>0.17934146072561596</v>
      </c>
      <c r="O19" s="553">
        <v>0.25</v>
      </c>
      <c r="P19" s="1176">
        <f t="shared" si="25"/>
        <v>0.16638463248164068</v>
      </c>
      <c r="Q19" s="256">
        <f t="shared" si="26"/>
        <v>0.66553852992656271</v>
      </c>
      <c r="R19" s="553">
        <v>0.25</v>
      </c>
      <c r="S19" s="1352">
        <f t="shared" si="19"/>
        <v>0.30058385883326916</v>
      </c>
      <c r="T19" s="256">
        <f t="shared" si="20"/>
        <v>1.2023354353330766</v>
      </c>
      <c r="U19" s="553">
        <v>0.15</v>
      </c>
      <c r="V19" s="515">
        <f t="shared" si="21"/>
        <v>0</v>
      </c>
      <c r="W19" s="256">
        <f t="shared" si="22"/>
        <v>0</v>
      </c>
      <c r="X19" s="553">
        <f t="shared" si="4"/>
        <v>0.9</v>
      </c>
      <c r="Y19" s="513">
        <f t="shared" si="23"/>
        <v>0.51180385649631388</v>
      </c>
      <c r="Z19" s="256">
        <f t="shared" si="17"/>
        <v>0.56867095166257098</v>
      </c>
      <c r="AA19" s="743">
        <f t="shared" si="24"/>
        <v>0.1137341903325142</v>
      </c>
      <c r="AB19" s="740" t="s">
        <v>679</v>
      </c>
      <c r="AC19" s="511" t="s">
        <v>680</v>
      </c>
      <c r="AD19" s="469" t="s">
        <v>678</v>
      </c>
      <c r="AE19" s="559" t="s">
        <v>43</v>
      </c>
      <c r="AF19" s="722" t="s">
        <v>677</v>
      </c>
      <c r="AG19" s="735">
        <v>1111431624</v>
      </c>
      <c r="AH19" s="730">
        <f>+AH16</f>
        <v>24789173000</v>
      </c>
      <c r="AI19" s="259"/>
      <c r="AJ19" s="735">
        <v>4091094128</v>
      </c>
      <c r="AK19" s="731">
        <v>24588173000</v>
      </c>
      <c r="AL19" s="462"/>
      <c r="AM19" s="735">
        <v>7390807922</v>
      </c>
      <c r="AN19" s="731">
        <v>24588173000</v>
      </c>
      <c r="AO19" s="462"/>
      <c r="AP19" s="461"/>
      <c r="AQ19" s="731">
        <v>24588173000</v>
      </c>
      <c r="AR19" s="462"/>
      <c r="AS19" s="1660"/>
      <c r="AT19" s="1567"/>
      <c r="AU19" s="456"/>
      <c r="AV19" s="456"/>
      <c r="AW19" s="456"/>
      <c r="AX19" s="456"/>
      <c r="AY19" s="456"/>
      <c r="AZ19" s="456"/>
    </row>
    <row r="20" spans="2:52" s="237" customFormat="1" ht="51.75" x14ac:dyDescent="0.25">
      <c r="B20" s="1611"/>
      <c r="C20" s="1613"/>
      <c r="D20" s="1615"/>
      <c r="E20" s="1626"/>
      <c r="F20" s="761">
        <v>2.5</v>
      </c>
      <c r="G20" s="1415" t="s">
        <v>715</v>
      </c>
      <c r="H20" s="361">
        <v>0.76</v>
      </c>
      <c r="I20" s="502">
        <v>0.2</v>
      </c>
      <c r="J20" s="255" t="s">
        <v>42</v>
      </c>
      <c r="K20" s="361" t="s">
        <v>40</v>
      </c>
      <c r="L20" s="602">
        <f>+AH20</f>
        <v>2018063217</v>
      </c>
      <c r="M20" s="549">
        <f t="shared" si="0"/>
        <v>1111431629</v>
      </c>
      <c r="N20" s="361">
        <f t="shared" si="1"/>
        <v>0.55074173080277689</v>
      </c>
      <c r="O20" s="554">
        <f>+AK20</f>
        <v>5202525752</v>
      </c>
      <c r="P20" s="549">
        <f>IF(J20="Cantidad",AJ20,IF(ISERROR(AJ20/AK20),0,AJ20/AK20))</f>
        <v>4091094123</v>
      </c>
      <c r="Q20" s="256">
        <f t="shared" si="26"/>
        <v>0.78636691446020546</v>
      </c>
      <c r="R20" s="554">
        <f>+AN20</f>
        <v>7789941519</v>
      </c>
      <c r="S20" s="549">
        <f t="shared" si="19"/>
        <v>7390807922</v>
      </c>
      <c r="T20" s="256">
        <f t="shared" si="20"/>
        <v>0.94876295335125482</v>
      </c>
      <c r="U20" s="554">
        <f>+AQ20</f>
        <v>5941585714</v>
      </c>
      <c r="V20" s="515">
        <f t="shared" si="21"/>
        <v>0</v>
      </c>
      <c r="W20" s="256">
        <f t="shared" si="22"/>
        <v>0</v>
      </c>
      <c r="X20" s="554">
        <f t="shared" si="4"/>
        <v>20952116202</v>
      </c>
      <c r="Y20" s="549">
        <f t="shared" si="23"/>
        <v>12593333674</v>
      </c>
      <c r="Z20" s="256">
        <f t="shared" si="17"/>
        <v>0.6010530655990679</v>
      </c>
      <c r="AA20" s="743">
        <f t="shared" si="5"/>
        <v>0.12021061311981358</v>
      </c>
      <c r="AB20" s="740" t="s">
        <v>685</v>
      </c>
      <c r="AC20" s="511" t="s">
        <v>683</v>
      </c>
      <c r="AD20" s="469" t="s">
        <v>684</v>
      </c>
      <c r="AE20" s="559" t="s">
        <v>43</v>
      </c>
      <c r="AF20" s="722" t="s">
        <v>677</v>
      </c>
      <c r="AG20" s="735">
        <v>1111431629</v>
      </c>
      <c r="AH20" s="730">
        <v>2018063217</v>
      </c>
      <c r="AI20" s="737"/>
      <c r="AJ20" s="735">
        <v>4091094123</v>
      </c>
      <c r="AK20" s="730">
        <v>5202525752</v>
      </c>
      <c r="AL20" s="738"/>
      <c r="AM20" s="735">
        <v>7390807922</v>
      </c>
      <c r="AN20" s="730">
        <v>7789941519</v>
      </c>
      <c r="AO20" s="738"/>
      <c r="AP20" s="735"/>
      <c r="AQ20" s="730">
        <v>5941585714</v>
      </c>
      <c r="AR20" s="738"/>
      <c r="AS20" s="1660"/>
      <c r="AT20" s="1567"/>
      <c r="AU20" s="716">
        <f>+AQ20+AN20+AK20+AH20</f>
        <v>20952116202</v>
      </c>
      <c r="AV20" s="456"/>
      <c r="AW20" s="456"/>
      <c r="AX20" s="456"/>
      <c r="AY20" s="456"/>
      <c r="AZ20" s="456"/>
    </row>
    <row r="21" spans="2:52" s="237" customFormat="1" ht="35.25" thickBot="1" x14ac:dyDescent="0.3">
      <c r="B21" s="1612"/>
      <c r="C21" s="1604"/>
      <c r="D21" s="1616"/>
      <c r="E21" s="1627"/>
      <c r="F21" s="713">
        <v>2.6</v>
      </c>
      <c r="G21" s="1416" t="s">
        <v>661</v>
      </c>
      <c r="H21" s="506">
        <v>0.97</v>
      </c>
      <c r="I21" s="503">
        <v>0.2</v>
      </c>
      <c r="J21" s="266" t="s">
        <v>39</v>
      </c>
      <c r="K21" s="356" t="s">
        <v>40</v>
      </c>
      <c r="L21" s="719">
        <v>0.57999999999999996</v>
      </c>
      <c r="M21" s="525">
        <f t="shared" si="0"/>
        <v>0.45013522557253921</v>
      </c>
      <c r="N21" s="361">
        <f t="shared" si="1"/>
        <v>0.77609521650437796</v>
      </c>
      <c r="O21" s="720">
        <v>0.38</v>
      </c>
      <c r="P21" s="525">
        <f t="shared" si="25"/>
        <v>0.75179005437360458</v>
      </c>
      <c r="Q21" s="658">
        <f t="shared" si="26"/>
        <v>1.9783948799305384</v>
      </c>
      <c r="R21" s="720">
        <v>0.02</v>
      </c>
      <c r="S21" s="657">
        <f t="shared" si="19"/>
        <v>0.90090062902175605</v>
      </c>
      <c r="T21" s="658">
        <f t="shared" si="20"/>
        <v>45.045031451087802</v>
      </c>
      <c r="U21" s="720">
        <v>0.02</v>
      </c>
      <c r="V21" s="657">
        <f t="shared" si="21"/>
        <v>0</v>
      </c>
      <c r="W21" s="658">
        <f t="shared" si="22"/>
        <v>0</v>
      </c>
      <c r="X21" s="719">
        <f t="shared" si="4"/>
        <v>1</v>
      </c>
      <c r="Y21" s="525">
        <f t="shared" si="23"/>
        <v>2.1028259089678998</v>
      </c>
      <c r="Z21" s="658">
        <f t="shared" si="17"/>
        <v>2.1028259089678998</v>
      </c>
      <c r="AA21" s="744">
        <f t="shared" si="5"/>
        <v>0.42056518179357999</v>
      </c>
      <c r="AB21" s="741" t="s">
        <v>686</v>
      </c>
      <c r="AC21" s="660" t="s">
        <v>683</v>
      </c>
      <c r="AD21" s="470" t="s">
        <v>717</v>
      </c>
      <c r="AE21" s="561" t="s">
        <v>43</v>
      </c>
      <c r="AF21" s="723" t="s">
        <v>677</v>
      </c>
      <c r="AG21" s="487">
        <v>2768570240</v>
      </c>
      <c r="AH21" s="488">
        <v>6150530069</v>
      </c>
      <c r="AI21" s="717"/>
      <c r="AJ21" s="735">
        <v>4623907335</v>
      </c>
      <c r="AK21" s="488">
        <v>6150530069</v>
      </c>
      <c r="AL21" s="718"/>
      <c r="AM21" s="487">
        <v>5519245265</v>
      </c>
      <c r="AN21" s="488">
        <v>6126364093</v>
      </c>
      <c r="AO21" s="718"/>
      <c r="AP21" s="487"/>
      <c r="AQ21" s="488">
        <v>6150530069</v>
      </c>
      <c r="AR21" s="718"/>
      <c r="AS21" s="1661"/>
      <c r="AT21" s="1568"/>
      <c r="AU21" s="716">
        <v>6150530069</v>
      </c>
      <c r="AV21" s="456"/>
      <c r="AW21" s="456"/>
      <c r="AX21" s="456"/>
      <c r="AY21" s="456"/>
      <c r="AZ21" s="456"/>
    </row>
    <row r="22" spans="2:52" s="237" customFormat="1" ht="100.5" customHeight="1" thickBot="1" x14ac:dyDescent="0.3">
      <c r="B22" s="583" t="s">
        <v>595</v>
      </c>
      <c r="C22" s="710">
        <v>3</v>
      </c>
      <c r="D22" s="715" t="s">
        <v>663</v>
      </c>
      <c r="E22" s="714">
        <v>0.2</v>
      </c>
      <c r="F22" s="821" t="s">
        <v>281</v>
      </c>
      <c r="G22" s="585" t="s">
        <v>696</v>
      </c>
      <c r="H22" s="586" t="s">
        <v>697</v>
      </c>
      <c r="I22" s="587">
        <v>1</v>
      </c>
      <c r="J22" s="588" t="s">
        <v>39</v>
      </c>
      <c r="K22" s="589" t="s">
        <v>106</v>
      </c>
      <c r="L22" s="494">
        <v>1</v>
      </c>
      <c r="M22" s="524">
        <f t="shared" si="0"/>
        <v>0.98076923076923073</v>
      </c>
      <c r="N22" s="664">
        <f t="shared" si="1"/>
        <v>0.98076923076923073</v>
      </c>
      <c r="O22" s="497">
        <v>1</v>
      </c>
      <c r="P22" s="524">
        <f t="shared" ref="P22" si="27">IF(M22="Cantidad",AJ22,IF(ISERROR(AJ22/AK22),0,AJ22/AK22))</f>
        <v>0.97660818713450293</v>
      </c>
      <c r="Q22" s="496">
        <f t="shared" ref="Q22" si="28">IF(ISERROR(P22/O22),0,(P22/O22))</f>
        <v>0.97660818713450293</v>
      </c>
      <c r="R22" s="494">
        <v>1</v>
      </c>
      <c r="S22" s="524">
        <f t="shared" ref="S22" si="29">IF(J22="Cantidad",AM22,IF(ISERROR(AM22/AN22),0,AM22/AN22))</f>
        <v>0.85661764705882348</v>
      </c>
      <c r="T22" s="600">
        <f t="shared" ref="T22" si="30">IF(ISERROR(S22/R22),0,(S22/R22))</f>
        <v>0.85661764705882348</v>
      </c>
      <c r="U22" s="494">
        <v>1</v>
      </c>
      <c r="V22" s="495">
        <f t="shared" ref="V22" si="31">IF(J22="Cantidad",AP22,IF(ISERROR(AP22/AQ22),0,AP22/AQ22))</f>
        <v>0</v>
      </c>
      <c r="W22" s="601">
        <f t="shared" ref="W22" si="32">IF(ISERROR(V22/U22),0,(V22/U22))</f>
        <v>0</v>
      </c>
      <c r="X22" s="497">
        <v>1</v>
      </c>
      <c r="Y22" s="495">
        <f t="shared" ref="Y22" si="33">IF(ISERROR(AVERAGE(M22,P22,S22,V22)),0,IF(K22="Suma",(M22+P22+S22+V22),AVERAGE(M22,P22,S22,V22)))</f>
        <v>0.70349876624063923</v>
      </c>
      <c r="Z22" s="496">
        <f t="shared" ref="Z22" si="34">IF(ISERROR(Y22/X22),0,(Y22/X22))</f>
        <v>0.70349876624063923</v>
      </c>
      <c r="AA22" s="655">
        <f t="shared" ref="AA22" si="35">+Z22*I22</f>
        <v>0.70349876624063923</v>
      </c>
      <c r="AB22" s="590" t="s">
        <v>439</v>
      </c>
      <c r="AC22" s="584" t="s">
        <v>452</v>
      </c>
      <c r="AD22" s="584" t="s">
        <v>453</v>
      </c>
      <c r="AE22" s="591" t="s">
        <v>43</v>
      </c>
      <c r="AF22" s="592" t="s">
        <v>323</v>
      </c>
      <c r="AG22" s="1247">
        <v>357</v>
      </c>
      <c r="AH22" s="1248">
        <v>364</v>
      </c>
      <c r="AI22" s="753"/>
      <c r="AJ22" s="754">
        <f>127+96+111</f>
        <v>334</v>
      </c>
      <c r="AK22" s="593">
        <f>128+98+116</f>
        <v>342</v>
      </c>
      <c r="AL22" s="505"/>
      <c r="AM22" s="754">
        <v>233</v>
      </c>
      <c r="AN22" s="593">
        <v>272</v>
      </c>
      <c r="AO22" s="505"/>
      <c r="AP22" s="750"/>
      <c r="AQ22" s="593"/>
      <c r="AR22" s="707"/>
      <c r="AS22" s="709" t="s">
        <v>709</v>
      </c>
      <c r="AT22" s="592">
        <f>+AA22</f>
        <v>0.70349876624063923</v>
      </c>
      <c r="AU22" s="456"/>
      <c r="AV22" s="456"/>
      <c r="AW22" s="456"/>
      <c r="AX22" s="456"/>
      <c r="AY22" s="456"/>
      <c r="AZ22" s="456"/>
    </row>
    <row r="23" spans="2:52" s="237" customFormat="1" ht="106.5" customHeight="1" x14ac:dyDescent="0.25">
      <c r="B23" s="1609" t="s">
        <v>598</v>
      </c>
      <c r="C23" s="1607">
        <v>4</v>
      </c>
      <c r="D23" s="1603" t="s">
        <v>663</v>
      </c>
      <c r="E23" s="1605">
        <v>0.2</v>
      </c>
      <c r="F23" s="712" t="s">
        <v>559</v>
      </c>
      <c r="G23" s="442" t="s">
        <v>656</v>
      </c>
      <c r="H23" s="499">
        <v>0.78</v>
      </c>
      <c r="I23" s="504">
        <v>0.5</v>
      </c>
      <c r="J23" s="254" t="s">
        <v>39</v>
      </c>
      <c r="K23" s="598" t="s">
        <v>106</v>
      </c>
      <c r="L23" s="552">
        <v>1</v>
      </c>
      <c r="M23" s="512">
        <f t="shared" si="0"/>
        <v>0.98005203816131825</v>
      </c>
      <c r="N23" s="245">
        <f t="shared" si="1"/>
        <v>0.98005203816131825</v>
      </c>
      <c r="O23" s="582">
        <v>1</v>
      </c>
      <c r="P23" s="1383">
        <f t="shared" ref="P23:P24" si="36">IF(M23="Cantidad",AJ23,IF(ISERROR(AJ23/AK23),0,AJ23/AK23))</f>
        <v>0.99095022624434392</v>
      </c>
      <c r="Q23" s="277">
        <f t="shared" ref="Q23:Q24" si="37">IF(ISERROR(P23/O23),0,(P23/O23))</f>
        <v>0.99095022624434392</v>
      </c>
      <c r="R23" s="582">
        <v>1</v>
      </c>
      <c r="S23" s="1383">
        <f t="shared" ref="S23:S24" si="38">IF(J23="Cantidad",AM23,IF(ISERROR(AM23/AN23),0,AM23/AN23))</f>
        <v>0.96860816944024208</v>
      </c>
      <c r="T23" s="283">
        <f t="shared" ref="T23:T24" si="39">IF(ISERROR(S23/R23),0,(S23/R23))</f>
        <v>0.96860816944024208</v>
      </c>
      <c r="U23" s="475">
        <v>1</v>
      </c>
      <c r="V23" s="472">
        <f t="shared" ref="V23:V24" si="40">IF(J23="Cantidad",AP23,IF(ISERROR(AP23/AQ23),0,AP23/AQ23))</f>
        <v>0</v>
      </c>
      <c r="W23" s="550">
        <f t="shared" ref="W23:W24" si="41">IF(ISERROR(V23/U23),0,(V23/U23))</f>
        <v>0</v>
      </c>
      <c r="X23" s="552">
        <v>1</v>
      </c>
      <c r="Y23" s="517">
        <f t="shared" ref="Y23:Y24" si="42">IF(ISERROR(AVERAGE(M23,P23,S23,V23)),0,IF(K23="Suma",(M23+P23+S23+V23),AVERAGE(M23,P23,S23,V23)))</f>
        <v>0.73490260846147604</v>
      </c>
      <c r="Z23" s="550">
        <f t="shared" ref="Z23:Z24" si="43">IF(ISERROR(Y23/X23),0,(Y23/X23))</f>
        <v>0.73490260846147604</v>
      </c>
      <c r="AA23" s="748">
        <f t="shared" ref="AA23:AA24" si="44">+Z23*I23</f>
        <v>0.36745130423073802</v>
      </c>
      <c r="AB23" s="746" t="s">
        <v>690</v>
      </c>
      <c r="AC23" s="498" t="s">
        <v>689</v>
      </c>
      <c r="AD23" s="498" t="s">
        <v>688</v>
      </c>
      <c r="AE23" s="562" t="s">
        <v>43</v>
      </c>
      <c r="AF23" s="567" t="s">
        <v>691</v>
      </c>
      <c r="AG23" s="1180">
        <v>2260</v>
      </c>
      <c r="AH23" s="1179">
        <v>2306</v>
      </c>
      <c r="AI23" s="247" t="s">
        <v>780</v>
      </c>
      <c r="AJ23" s="248">
        <v>2628</v>
      </c>
      <c r="AK23" s="249">
        <v>2652</v>
      </c>
      <c r="AL23" s="466" t="s">
        <v>779</v>
      </c>
      <c r="AM23" s="248">
        <v>2561</v>
      </c>
      <c r="AN23" s="249">
        <v>2644</v>
      </c>
      <c r="AO23" s="466"/>
      <c r="AP23" s="751"/>
      <c r="AQ23" s="249"/>
      <c r="AR23" s="708"/>
      <c r="AS23" s="1656" t="s">
        <v>710</v>
      </c>
      <c r="AT23" s="1662">
        <f>SUM(AA23:AA24)</f>
        <v>0.72822140937424473</v>
      </c>
      <c r="AU23" s="456"/>
      <c r="AV23" s="456"/>
      <c r="AW23" s="456"/>
      <c r="AX23" s="456"/>
      <c r="AY23" s="456"/>
      <c r="AZ23" s="456"/>
    </row>
    <row r="24" spans="2:52" s="237" customFormat="1" ht="67.5" customHeight="1" thickBot="1" x14ac:dyDescent="0.3">
      <c r="B24" s="1610"/>
      <c r="C24" s="1608"/>
      <c r="D24" s="1604"/>
      <c r="E24" s="1606"/>
      <c r="F24" s="713">
        <v>5.2</v>
      </c>
      <c r="G24" s="443" t="s">
        <v>687</v>
      </c>
      <c r="H24" s="356">
        <v>0.94</v>
      </c>
      <c r="I24" s="503">
        <v>0.5</v>
      </c>
      <c r="J24" s="266" t="s">
        <v>39</v>
      </c>
      <c r="K24" s="599" t="s">
        <v>106</v>
      </c>
      <c r="L24" s="266">
        <v>1</v>
      </c>
      <c r="M24" s="521">
        <f t="shared" si="0"/>
        <v>0.99130434782608701</v>
      </c>
      <c r="N24" s="356">
        <f t="shared" si="1"/>
        <v>0.99130434782608701</v>
      </c>
      <c r="O24" s="490">
        <v>1</v>
      </c>
      <c r="P24" s="521">
        <f t="shared" si="36"/>
        <v>0.9673202614379085</v>
      </c>
      <c r="Q24" s="267">
        <f t="shared" si="37"/>
        <v>0.9673202614379085</v>
      </c>
      <c r="R24" s="490">
        <v>1</v>
      </c>
      <c r="S24" s="521">
        <f t="shared" si="38"/>
        <v>0.92753623188405798</v>
      </c>
      <c r="T24" s="291">
        <f t="shared" si="39"/>
        <v>0.92753623188405798</v>
      </c>
      <c r="U24" s="471">
        <v>1</v>
      </c>
      <c r="V24" s="243">
        <f t="shared" si="40"/>
        <v>0</v>
      </c>
      <c r="W24" s="551">
        <f t="shared" si="41"/>
        <v>0</v>
      </c>
      <c r="X24" s="266">
        <v>1</v>
      </c>
      <c r="Y24" s="243">
        <f t="shared" si="42"/>
        <v>0.72154021028701343</v>
      </c>
      <c r="Z24" s="551">
        <f t="shared" si="43"/>
        <v>0.72154021028701343</v>
      </c>
      <c r="AA24" s="749">
        <f t="shared" si="44"/>
        <v>0.36077010514350671</v>
      </c>
      <c r="AB24" s="747" t="s">
        <v>694</v>
      </c>
      <c r="AC24" s="243" t="s">
        <v>693</v>
      </c>
      <c r="AD24" s="243" t="s">
        <v>692</v>
      </c>
      <c r="AE24" s="561" t="s">
        <v>43</v>
      </c>
      <c r="AF24" s="566" t="s">
        <v>691</v>
      </c>
      <c r="AG24" s="451">
        <v>114</v>
      </c>
      <c r="AH24" s="243">
        <v>115</v>
      </c>
      <c r="AI24" s="269" t="s">
        <v>782</v>
      </c>
      <c r="AJ24" s="463">
        <v>148</v>
      </c>
      <c r="AK24" s="464">
        <v>153</v>
      </c>
      <c r="AL24" s="465" t="s">
        <v>781</v>
      </c>
      <c r="AM24" s="463">
        <v>256</v>
      </c>
      <c r="AN24" s="464">
        <v>276</v>
      </c>
      <c r="AO24" s="465"/>
      <c r="AP24" s="752"/>
      <c r="AQ24" s="464"/>
      <c r="AR24" s="706"/>
      <c r="AS24" s="1658"/>
      <c r="AT24" s="1568"/>
      <c r="AU24" s="456"/>
      <c r="AV24" s="456"/>
      <c r="AW24" s="456"/>
      <c r="AX24" s="456"/>
      <c r="AY24" s="456"/>
      <c r="AZ24" s="456"/>
    </row>
    <row r="25" spans="2:52" s="237" customFormat="1" ht="18" thickBot="1" x14ac:dyDescent="0.3">
      <c r="B25" s="230"/>
      <c r="C25" s="230"/>
      <c r="D25" s="230"/>
      <c r="E25" s="489">
        <f>SUM(E11:E24)</f>
        <v>1</v>
      </c>
      <c r="F25" s="230"/>
      <c r="G25" s="230"/>
      <c r="H25" s="230"/>
      <c r="I25" s="440"/>
      <c r="J25" s="230"/>
      <c r="K25" s="230"/>
      <c r="L25" s="440"/>
      <c r="M25" s="230"/>
      <c r="N25" s="665"/>
      <c r="O25" s="230"/>
      <c r="P25" s="230"/>
      <c r="Q25" s="230"/>
      <c r="R25" s="230"/>
      <c r="S25" s="230"/>
      <c r="T25" s="230"/>
      <c r="U25" s="230"/>
      <c r="V25" s="230"/>
      <c r="W25" s="230"/>
      <c r="X25" s="230"/>
      <c r="Y25" s="230"/>
      <c r="Z25" s="230"/>
      <c r="AA25" s="230"/>
      <c r="AB25" s="474"/>
      <c r="AC25" s="474"/>
      <c r="AD25" s="474"/>
      <c r="AE25" s="474"/>
      <c r="AF25" s="456"/>
      <c r="AG25" s="230"/>
      <c r="AH25" s="230"/>
      <c r="AI25" s="230"/>
      <c r="AJ25" s="456"/>
      <c r="AK25" s="456"/>
      <c r="AL25" s="456"/>
      <c r="AM25" s="456"/>
      <c r="AN25" s="456"/>
      <c r="AO25" s="456"/>
      <c r="AP25" s="456"/>
      <c r="AQ25" s="456"/>
      <c r="AR25" s="456"/>
      <c r="AS25" s="456"/>
      <c r="AT25" s="456"/>
      <c r="AU25" s="456"/>
      <c r="AV25" s="456"/>
      <c r="AW25" s="456"/>
      <c r="AX25" s="456"/>
      <c r="AY25" s="456"/>
      <c r="AZ25" s="456"/>
    </row>
    <row r="26" spans="2:52" s="237" customFormat="1" x14ac:dyDescent="0.25">
      <c r="B26" s="230"/>
      <c r="C26" s="230"/>
      <c r="D26" s="230"/>
      <c r="E26" s="230"/>
      <c r="F26" s="230"/>
      <c r="G26" s="230"/>
      <c r="H26" s="230"/>
      <c r="I26" s="440"/>
      <c r="J26" s="230"/>
      <c r="K26" s="230"/>
      <c r="L26" s="440"/>
      <c r="M26" s="230"/>
      <c r="N26" s="665"/>
      <c r="O26" s="230"/>
      <c r="P26" s="230"/>
      <c r="Q26" s="230"/>
      <c r="R26" s="230"/>
      <c r="S26" s="230"/>
      <c r="T26" s="230"/>
      <c r="U26" s="230"/>
      <c r="V26" s="230"/>
      <c r="W26" s="230"/>
      <c r="X26" s="230"/>
      <c r="Y26" s="230"/>
      <c r="Z26" s="230"/>
      <c r="AA26" s="230"/>
      <c r="AB26" s="474"/>
      <c r="AC26" s="474"/>
      <c r="AD26" s="474"/>
      <c r="AE26" s="474"/>
      <c r="AF26" s="456"/>
      <c r="AG26" s="230"/>
      <c r="AH26" s="230"/>
      <c r="AI26" s="230"/>
      <c r="AJ26" s="456"/>
      <c r="AK26" s="456"/>
      <c r="AL26" s="456"/>
      <c r="AM26" s="456"/>
      <c r="AN26" s="456"/>
      <c r="AO26" s="456"/>
      <c r="AP26" s="456"/>
      <c r="AQ26" s="456"/>
      <c r="AR26" s="456"/>
      <c r="AS26" s="456"/>
      <c r="AT26" s="456"/>
      <c r="AU26" s="456"/>
      <c r="AV26" s="456"/>
      <c r="AW26" s="456"/>
      <c r="AX26" s="456"/>
      <c r="AY26" s="456"/>
      <c r="AZ26" s="456"/>
    </row>
    <row r="27" spans="2:52" s="237" customFormat="1" x14ac:dyDescent="0.25">
      <c r="B27" s="230"/>
      <c r="C27" s="230"/>
      <c r="D27" s="230"/>
      <c r="E27" s="230"/>
      <c r="F27" s="230"/>
      <c r="G27" s="230"/>
      <c r="H27" s="230"/>
      <c r="I27" s="440"/>
      <c r="J27" s="230"/>
      <c r="K27" s="230"/>
      <c r="L27" s="440"/>
      <c r="M27" s="230"/>
      <c r="N27" s="665"/>
      <c r="O27" s="230"/>
      <c r="P27" s="230"/>
      <c r="Q27" s="230"/>
      <c r="R27" s="230"/>
      <c r="S27" s="230"/>
      <c r="T27" s="230"/>
      <c r="U27" s="230"/>
      <c r="V27" s="230"/>
      <c r="W27" s="230"/>
      <c r="X27" s="230"/>
      <c r="Y27" s="230"/>
      <c r="Z27" s="230"/>
      <c r="AA27" s="230"/>
      <c r="AB27" s="474"/>
      <c r="AC27" s="474"/>
      <c r="AD27" s="474"/>
      <c r="AE27" s="474"/>
      <c r="AF27" s="456"/>
      <c r="AG27" s="230"/>
      <c r="AH27" s="230"/>
      <c r="AI27" s="230"/>
      <c r="AJ27" s="456"/>
      <c r="AK27" s="456"/>
      <c r="AL27" s="456"/>
      <c r="AM27" s="456"/>
      <c r="AN27" s="456"/>
      <c r="AO27" s="456"/>
      <c r="AP27" s="456"/>
      <c r="AQ27" s="456"/>
      <c r="AR27" s="456"/>
      <c r="AS27" s="456"/>
      <c r="AT27" s="456"/>
      <c r="AU27" s="456"/>
      <c r="AV27" s="456"/>
      <c r="AW27" s="456"/>
      <c r="AX27" s="456"/>
      <c r="AY27" s="456"/>
      <c r="AZ27" s="456"/>
    </row>
    <row r="28" spans="2:52" s="237" customFormat="1" x14ac:dyDescent="0.25">
      <c r="B28" s="230"/>
      <c r="C28" s="230"/>
      <c r="D28" s="230"/>
      <c r="E28" s="230"/>
      <c r="F28" s="230"/>
      <c r="G28" s="230"/>
      <c r="H28" s="230"/>
      <c r="I28" s="440"/>
      <c r="J28" s="230"/>
      <c r="K28" s="230"/>
      <c r="L28" s="440"/>
      <c r="M28" s="230"/>
      <c r="N28" s="665"/>
      <c r="O28" s="230"/>
      <c r="P28" s="230"/>
      <c r="Q28" s="230"/>
      <c r="R28" s="230"/>
      <c r="S28" s="230"/>
      <c r="T28" s="230"/>
      <c r="U28" s="230"/>
      <c r="V28" s="230"/>
      <c r="W28" s="230"/>
      <c r="X28" s="230"/>
      <c r="Y28" s="230"/>
      <c r="Z28" s="230"/>
      <c r="AA28" s="230"/>
      <c r="AB28" s="474"/>
      <c r="AC28" s="474"/>
      <c r="AD28" s="474"/>
      <c r="AE28" s="474"/>
      <c r="AF28" s="456"/>
      <c r="AG28" s="230"/>
      <c r="AH28" s="230"/>
      <c r="AI28" s="230"/>
      <c r="AJ28" s="456"/>
      <c r="AK28" s="456"/>
      <c r="AL28" s="456"/>
      <c r="AM28" s="456"/>
      <c r="AN28" s="456"/>
      <c r="AO28" s="456"/>
      <c r="AP28" s="456"/>
      <c r="AQ28" s="456"/>
      <c r="AR28" s="456"/>
      <c r="AS28" s="456"/>
      <c r="AT28" s="456"/>
      <c r="AU28" s="456"/>
      <c r="AV28" s="456"/>
      <c r="AW28" s="456"/>
      <c r="AX28" s="456"/>
      <c r="AY28" s="456"/>
      <c r="AZ28" s="456"/>
    </row>
    <row r="29" spans="2:52" s="237" customFormat="1" x14ac:dyDescent="0.25">
      <c r="B29" s="230"/>
      <c r="C29" s="230"/>
      <c r="D29" s="230"/>
      <c r="E29" s="230"/>
      <c r="F29" s="230"/>
      <c r="G29" s="230"/>
      <c r="H29" s="230"/>
      <c r="I29" s="440"/>
      <c r="J29" s="230"/>
      <c r="K29" s="230"/>
      <c r="L29" s="440"/>
      <c r="M29" s="230"/>
      <c r="N29" s="665"/>
      <c r="O29" s="230"/>
      <c r="P29" s="230"/>
      <c r="Q29" s="230"/>
      <c r="R29" s="230"/>
      <c r="S29" s="230"/>
      <c r="T29" s="230"/>
      <c r="U29" s="230"/>
      <c r="V29" s="230"/>
      <c r="W29" s="230"/>
      <c r="X29" s="230"/>
      <c r="Y29" s="230"/>
      <c r="Z29" s="230"/>
      <c r="AA29" s="230"/>
      <c r="AB29" s="474"/>
      <c r="AC29" s="474"/>
      <c r="AD29" s="474"/>
      <c r="AE29" s="474"/>
      <c r="AF29" s="456"/>
      <c r="AG29" s="230"/>
      <c r="AH29" s="230"/>
      <c r="AI29" s="230"/>
      <c r="AJ29" s="456"/>
      <c r="AK29" s="456"/>
      <c r="AL29" s="456"/>
      <c r="AM29" s="456"/>
      <c r="AN29" s="456"/>
      <c r="AO29" s="456"/>
      <c r="AP29" s="456"/>
      <c r="AQ29" s="456"/>
      <c r="AR29" s="456"/>
      <c r="AS29" s="456"/>
      <c r="AT29" s="456"/>
      <c r="AU29" s="456"/>
      <c r="AV29" s="456"/>
      <c r="AW29" s="456"/>
      <c r="AX29" s="456"/>
      <c r="AY29" s="456"/>
      <c r="AZ29" s="456"/>
    </row>
    <row r="30" spans="2:52" s="237" customFormat="1" x14ac:dyDescent="0.25">
      <c r="B30" s="230"/>
      <c r="C30" s="230"/>
      <c r="D30" s="230"/>
      <c r="E30" s="230"/>
      <c r="F30" s="230"/>
      <c r="G30" s="230"/>
      <c r="H30" s="230"/>
      <c r="I30" s="440"/>
      <c r="J30" s="230"/>
      <c r="K30" s="230"/>
      <c r="L30" s="440"/>
      <c r="M30" s="230"/>
      <c r="N30" s="665"/>
      <c r="O30" s="230"/>
      <c r="P30" s="230"/>
      <c r="Q30" s="230"/>
      <c r="R30" s="230"/>
      <c r="S30" s="230"/>
      <c r="T30" s="230"/>
      <c r="U30" s="230"/>
      <c r="V30" s="230"/>
      <c r="W30" s="230"/>
      <c r="X30" s="230"/>
      <c r="Y30" s="230"/>
      <c r="Z30" s="230"/>
      <c r="AA30" s="230"/>
      <c r="AB30" s="474"/>
      <c r="AC30" s="474"/>
      <c r="AD30" s="474"/>
      <c r="AE30" s="474"/>
      <c r="AF30" s="456"/>
      <c r="AG30" s="230"/>
      <c r="AH30" s="230"/>
      <c r="AI30" s="230"/>
      <c r="AJ30" s="456"/>
      <c r="AK30" s="456"/>
      <c r="AL30" s="456"/>
      <c r="AM30" s="456"/>
      <c r="AN30" s="456"/>
      <c r="AO30" s="456"/>
      <c r="AP30" s="456"/>
      <c r="AQ30" s="456"/>
      <c r="AR30" s="456"/>
      <c r="AS30" s="456"/>
      <c r="AT30" s="456"/>
      <c r="AU30" s="456"/>
      <c r="AV30" s="456"/>
      <c r="AW30" s="456"/>
      <c r="AX30" s="456"/>
      <c r="AY30" s="456"/>
      <c r="AZ30" s="456"/>
    </row>
    <row r="31" spans="2:52" s="237" customFormat="1" x14ac:dyDescent="0.25">
      <c r="B31" s="230"/>
      <c r="C31" s="230"/>
      <c r="D31" s="230"/>
      <c r="E31" s="230"/>
      <c r="F31" s="230"/>
      <c r="G31" s="230"/>
      <c r="H31" s="230"/>
      <c r="I31" s="440"/>
      <c r="J31" s="230"/>
      <c r="K31" s="230"/>
      <c r="L31" s="440"/>
      <c r="M31" s="230"/>
      <c r="N31" s="665"/>
      <c r="O31" s="230"/>
      <c r="P31" s="230"/>
      <c r="Q31" s="230"/>
      <c r="R31" s="230"/>
      <c r="S31" s="230"/>
      <c r="T31" s="230"/>
      <c r="U31" s="230"/>
      <c r="V31" s="230"/>
      <c r="W31" s="230"/>
      <c r="X31" s="230"/>
      <c r="Y31" s="230"/>
      <c r="Z31" s="230"/>
      <c r="AA31" s="230"/>
      <c r="AB31" s="474"/>
      <c r="AC31" s="474"/>
      <c r="AD31" s="474"/>
      <c r="AE31" s="474"/>
      <c r="AF31" s="456"/>
      <c r="AG31" s="230"/>
      <c r="AH31" s="230"/>
      <c r="AI31" s="230"/>
      <c r="AJ31" s="456"/>
      <c r="AK31" s="456"/>
      <c r="AL31" s="456"/>
      <c r="AM31" s="456"/>
      <c r="AN31" s="456"/>
      <c r="AO31" s="456"/>
      <c r="AP31" s="456"/>
      <c r="AQ31" s="456"/>
      <c r="AR31" s="456"/>
      <c r="AS31" s="456"/>
      <c r="AT31" s="456"/>
      <c r="AU31" s="456"/>
      <c r="AV31" s="456"/>
      <c r="AW31" s="456"/>
      <c r="AX31" s="456"/>
      <c r="AY31" s="456"/>
      <c r="AZ31" s="456"/>
    </row>
    <row r="32" spans="2:52" s="237" customFormat="1" x14ac:dyDescent="0.25">
      <c r="B32" s="230"/>
      <c r="C32" s="230"/>
      <c r="D32" s="230"/>
      <c r="E32" s="230"/>
      <c r="F32" s="230"/>
      <c r="G32" s="230"/>
      <c r="H32" s="230"/>
      <c r="I32" s="440"/>
      <c r="J32" s="230"/>
      <c r="K32" s="230"/>
      <c r="L32" s="440"/>
      <c r="M32" s="230"/>
      <c r="N32" s="665"/>
      <c r="O32" s="230"/>
      <c r="P32" s="230"/>
      <c r="Q32" s="230"/>
      <c r="R32" s="230"/>
      <c r="S32" s="230"/>
      <c r="T32" s="230"/>
      <c r="U32" s="230"/>
      <c r="V32" s="230"/>
      <c r="W32" s="230"/>
      <c r="X32" s="230"/>
      <c r="Y32" s="230"/>
      <c r="Z32" s="230"/>
      <c r="AA32" s="230"/>
      <c r="AB32" s="474"/>
      <c r="AC32" s="474"/>
      <c r="AD32" s="474"/>
      <c r="AE32" s="474"/>
      <c r="AF32" s="456"/>
      <c r="AG32" s="230"/>
      <c r="AH32" s="230"/>
      <c r="AI32" s="230"/>
      <c r="AJ32" s="456"/>
      <c r="AK32" s="456"/>
      <c r="AL32" s="456"/>
      <c r="AM32" s="456"/>
      <c r="AN32" s="456"/>
      <c r="AO32" s="456"/>
      <c r="AP32" s="456"/>
      <c r="AQ32" s="456"/>
      <c r="AR32" s="456"/>
      <c r="AS32" s="456"/>
      <c r="AT32" s="456"/>
      <c r="AU32" s="456"/>
      <c r="AV32" s="456"/>
      <c r="AW32" s="456"/>
      <c r="AX32" s="456"/>
      <c r="AY32" s="456"/>
      <c r="AZ32" s="456"/>
    </row>
    <row r="33" spans="2:52" s="237" customFormat="1" x14ac:dyDescent="0.25">
      <c r="B33" s="230"/>
      <c r="C33" s="230"/>
      <c r="D33" s="230"/>
      <c r="E33" s="230"/>
      <c r="F33" s="230"/>
      <c r="G33" s="230"/>
      <c r="H33" s="230"/>
      <c r="I33" s="440"/>
      <c r="J33" s="230"/>
      <c r="K33" s="230"/>
      <c r="L33" s="440"/>
      <c r="M33" s="230"/>
      <c r="N33" s="665"/>
      <c r="O33" s="230"/>
      <c r="P33" s="230"/>
      <c r="Q33" s="230"/>
      <c r="R33" s="230"/>
      <c r="S33" s="230"/>
      <c r="T33" s="230"/>
      <c r="U33" s="230"/>
      <c r="V33" s="230"/>
      <c r="W33" s="230"/>
      <c r="X33" s="230"/>
      <c r="Y33" s="230"/>
      <c r="Z33" s="230"/>
      <c r="AA33" s="230"/>
      <c r="AB33" s="474"/>
      <c r="AC33" s="474"/>
      <c r="AD33" s="474"/>
      <c r="AE33" s="474"/>
      <c r="AF33" s="456"/>
      <c r="AG33" s="230"/>
      <c r="AH33" s="230"/>
      <c r="AI33" s="230"/>
      <c r="AJ33" s="456"/>
      <c r="AK33" s="456"/>
      <c r="AL33" s="456"/>
      <c r="AM33" s="456"/>
      <c r="AN33" s="456"/>
      <c r="AO33" s="456"/>
      <c r="AP33" s="456"/>
      <c r="AQ33" s="456"/>
      <c r="AR33" s="456"/>
      <c r="AS33" s="456"/>
      <c r="AT33" s="456"/>
      <c r="AU33" s="456"/>
      <c r="AV33" s="456"/>
      <c r="AW33" s="456"/>
      <c r="AX33" s="456"/>
      <c r="AY33" s="456"/>
      <c r="AZ33" s="456"/>
    </row>
    <row r="34" spans="2:52" s="237" customFormat="1" x14ac:dyDescent="0.25">
      <c r="B34" s="230"/>
      <c r="C34" s="230"/>
      <c r="D34" s="230"/>
      <c r="E34" s="230"/>
      <c r="F34" s="230"/>
      <c r="G34" s="230"/>
      <c r="H34" s="230"/>
      <c r="I34" s="440"/>
      <c r="J34" s="230"/>
      <c r="K34" s="230"/>
      <c r="L34" s="440"/>
      <c r="M34" s="230"/>
      <c r="N34" s="665"/>
      <c r="O34" s="230"/>
      <c r="P34" s="230"/>
      <c r="Q34" s="230"/>
      <c r="R34" s="230"/>
      <c r="S34" s="230"/>
      <c r="T34" s="230"/>
      <c r="U34" s="230"/>
      <c r="V34" s="230"/>
      <c r="W34" s="230"/>
      <c r="X34" s="230"/>
      <c r="Y34" s="230"/>
      <c r="Z34" s="230"/>
      <c r="AA34" s="230"/>
      <c r="AB34" s="474"/>
      <c r="AC34" s="474"/>
      <c r="AD34" s="474"/>
      <c r="AE34" s="474"/>
      <c r="AF34" s="456"/>
      <c r="AG34" s="230"/>
      <c r="AH34" s="230"/>
      <c r="AI34" s="230"/>
      <c r="AJ34" s="456"/>
      <c r="AK34" s="456"/>
      <c r="AL34" s="456"/>
      <c r="AM34" s="456"/>
      <c r="AN34" s="456"/>
      <c r="AO34" s="456"/>
      <c r="AP34" s="456"/>
      <c r="AQ34" s="456"/>
      <c r="AR34" s="456"/>
      <c r="AS34" s="456"/>
      <c r="AT34" s="456"/>
      <c r="AU34" s="456"/>
      <c r="AV34" s="456"/>
      <c r="AW34" s="456"/>
      <c r="AX34" s="456"/>
      <c r="AY34" s="456"/>
      <c r="AZ34" s="456"/>
    </row>
    <row r="35" spans="2:52" s="237" customFormat="1" x14ac:dyDescent="0.25">
      <c r="B35" s="230"/>
      <c r="C35" s="230"/>
      <c r="D35" s="230"/>
      <c r="E35" s="230"/>
      <c r="F35" s="230"/>
      <c r="G35" s="230"/>
      <c r="H35" s="230"/>
      <c r="I35" s="440"/>
      <c r="J35" s="230"/>
      <c r="K35" s="230"/>
      <c r="L35" s="440"/>
      <c r="M35" s="230"/>
      <c r="N35" s="665"/>
      <c r="O35" s="230"/>
      <c r="P35" s="230"/>
      <c r="Q35" s="230"/>
      <c r="R35" s="230"/>
      <c r="S35" s="230"/>
      <c r="T35" s="230"/>
      <c r="U35" s="230"/>
      <c r="V35" s="230"/>
      <c r="W35" s="230"/>
      <c r="X35" s="230"/>
      <c r="Y35" s="230"/>
      <c r="Z35" s="230"/>
      <c r="AA35" s="230"/>
      <c r="AB35" s="474"/>
      <c r="AC35" s="474"/>
      <c r="AD35" s="474"/>
      <c r="AE35" s="474"/>
      <c r="AF35" s="456"/>
      <c r="AG35" s="230"/>
      <c r="AH35" s="230"/>
      <c r="AI35" s="230"/>
      <c r="AJ35" s="456"/>
      <c r="AK35" s="456"/>
      <c r="AL35" s="456"/>
      <c r="AM35" s="456"/>
      <c r="AN35" s="456"/>
      <c r="AO35" s="456"/>
      <c r="AP35" s="456"/>
      <c r="AQ35" s="456"/>
      <c r="AR35" s="456"/>
      <c r="AS35" s="456"/>
      <c r="AT35" s="456"/>
      <c r="AU35" s="456"/>
      <c r="AV35" s="456"/>
      <c r="AW35" s="456"/>
      <c r="AX35" s="456"/>
      <c r="AY35" s="456"/>
      <c r="AZ35" s="456"/>
    </row>
    <row r="36" spans="2:52" s="237" customFormat="1" x14ac:dyDescent="0.25">
      <c r="B36" s="230"/>
      <c r="C36" s="230"/>
      <c r="D36" s="230"/>
      <c r="E36" s="230"/>
      <c r="F36" s="230"/>
      <c r="G36" s="230"/>
      <c r="H36" s="230"/>
      <c r="I36" s="440"/>
      <c r="J36" s="230"/>
      <c r="K36" s="230"/>
      <c r="L36" s="440"/>
      <c r="M36" s="230"/>
      <c r="N36" s="665"/>
      <c r="O36" s="230"/>
      <c r="P36" s="230"/>
      <c r="Q36" s="230"/>
      <c r="R36" s="230"/>
      <c r="S36" s="230"/>
      <c r="T36" s="230"/>
      <c r="U36" s="230"/>
      <c r="V36" s="230"/>
      <c r="W36" s="230"/>
      <c r="X36" s="230"/>
      <c r="Y36" s="230"/>
      <c r="Z36" s="230"/>
      <c r="AA36" s="230"/>
      <c r="AB36" s="474"/>
      <c r="AC36" s="474"/>
      <c r="AD36" s="474"/>
      <c r="AE36" s="474"/>
      <c r="AF36" s="456"/>
      <c r="AG36" s="230"/>
      <c r="AH36" s="230"/>
      <c r="AI36" s="230"/>
      <c r="AJ36" s="456"/>
      <c r="AK36" s="456"/>
      <c r="AL36" s="456"/>
      <c r="AM36" s="456"/>
      <c r="AN36" s="456"/>
      <c r="AO36" s="456"/>
      <c r="AP36" s="456"/>
      <c r="AQ36" s="456"/>
      <c r="AR36" s="456"/>
      <c r="AS36" s="456"/>
      <c r="AT36" s="456"/>
      <c r="AU36" s="456"/>
      <c r="AV36" s="456"/>
      <c r="AW36" s="456"/>
      <c r="AX36" s="456"/>
      <c r="AY36" s="456"/>
      <c r="AZ36" s="456"/>
    </row>
    <row r="37" spans="2:52" s="237" customFormat="1" x14ac:dyDescent="0.25">
      <c r="B37" s="230"/>
      <c r="C37" s="230"/>
      <c r="D37" s="230"/>
      <c r="E37" s="230"/>
      <c r="F37" s="230"/>
      <c r="G37" s="230"/>
      <c r="H37" s="230"/>
      <c r="I37" s="440"/>
      <c r="J37" s="230"/>
      <c r="K37" s="230"/>
      <c r="L37" s="440"/>
      <c r="M37" s="230"/>
      <c r="N37" s="665"/>
      <c r="O37" s="230"/>
      <c r="P37" s="230"/>
      <c r="Q37" s="230"/>
      <c r="R37" s="230"/>
      <c r="S37" s="230"/>
      <c r="T37" s="230"/>
      <c r="U37" s="230"/>
      <c r="V37" s="230"/>
      <c r="W37" s="230"/>
      <c r="X37" s="230"/>
      <c r="Y37" s="230"/>
      <c r="Z37" s="230"/>
      <c r="AA37" s="230"/>
      <c r="AB37" s="474"/>
      <c r="AC37" s="474"/>
      <c r="AD37" s="474"/>
      <c r="AE37" s="474"/>
      <c r="AF37" s="456"/>
      <c r="AG37" s="230"/>
      <c r="AH37" s="230"/>
      <c r="AI37" s="230"/>
      <c r="AJ37" s="456"/>
      <c r="AK37" s="456"/>
      <c r="AL37" s="456"/>
      <c r="AM37" s="456"/>
      <c r="AN37" s="456"/>
      <c r="AO37" s="456"/>
      <c r="AP37" s="456"/>
      <c r="AQ37" s="456"/>
      <c r="AR37" s="456"/>
      <c r="AS37" s="456"/>
      <c r="AT37" s="456"/>
      <c r="AU37" s="456"/>
      <c r="AV37" s="456"/>
      <c r="AW37" s="456"/>
      <c r="AX37" s="456"/>
      <c r="AY37" s="456"/>
      <c r="AZ37" s="456"/>
    </row>
    <row r="38" spans="2:52" s="237" customFormat="1" x14ac:dyDescent="0.25">
      <c r="B38" s="230"/>
      <c r="C38" s="230"/>
      <c r="D38" s="230"/>
      <c r="E38" s="230"/>
      <c r="F38" s="230"/>
      <c r="G38" s="230"/>
      <c r="H38" s="230"/>
      <c r="I38" s="440"/>
      <c r="J38" s="230"/>
      <c r="K38" s="230"/>
      <c r="L38" s="440"/>
      <c r="M38" s="230"/>
      <c r="N38" s="665"/>
      <c r="O38" s="230"/>
      <c r="P38" s="230"/>
      <c r="Q38" s="230"/>
      <c r="R38" s="230"/>
      <c r="S38" s="230"/>
      <c r="T38" s="230"/>
      <c r="U38" s="230"/>
      <c r="V38" s="230"/>
      <c r="W38" s="230"/>
      <c r="X38" s="230"/>
      <c r="Y38" s="230"/>
      <c r="Z38" s="230"/>
      <c r="AA38" s="230"/>
      <c r="AB38" s="474"/>
      <c r="AC38" s="474"/>
      <c r="AD38" s="474"/>
      <c r="AE38" s="474"/>
      <c r="AF38" s="456"/>
      <c r="AG38" s="230"/>
      <c r="AH38" s="230"/>
      <c r="AI38" s="230"/>
      <c r="AJ38" s="456"/>
      <c r="AK38" s="456"/>
      <c r="AL38" s="456"/>
      <c r="AM38" s="456"/>
      <c r="AN38" s="456"/>
      <c r="AO38" s="456"/>
      <c r="AP38" s="456"/>
      <c r="AQ38" s="456"/>
      <c r="AR38" s="456"/>
      <c r="AS38" s="456"/>
      <c r="AT38" s="456"/>
      <c r="AU38" s="456"/>
      <c r="AV38" s="456"/>
      <c r="AW38" s="456"/>
      <c r="AX38" s="456"/>
      <c r="AY38" s="456"/>
      <c r="AZ38" s="456"/>
    </row>
    <row r="39" spans="2:52" s="237" customFormat="1" x14ac:dyDescent="0.25">
      <c r="B39" s="230"/>
      <c r="C39" s="230"/>
      <c r="D39" s="230"/>
      <c r="E39" s="230"/>
      <c r="F39" s="230"/>
      <c r="G39" s="230"/>
      <c r="H39" s="230"/>
      <c r="I39" s="440"/>
      <c r="J39" s="230"/>
      <c r="K39" s="230"/>
      <c r="L39" s="440"/>
      <c r="M39" s="230"/>
      <c r="N39" s="665"/>
      <c r="O39" s="230"/>
      <c r="P39" s="230"/>
      <c r="Q39" s="230"/>
      <c r="R39" s="230"/>
      <c r="S39" s="230"/>
      <c r="T39" s="230"/>
      <c r="U39" s="230"/>
      <c r="V39" s="230"/>
      <c r="W39" s="230"/>
      <c r="X39" s="230"/>
      <c r="Y39" s="230"/>
      <c r="Z39" s="230"/>
      <c r="AA39" s="230"/>
      <c r="AB39" s="474"/>
      <c r="AC39" s="474"/>
      <c r="AD39" s="474"/>
      <c r="AE39" s="474"/>
      <c r="AF39" s="456"/>
      <c r="AG39" s="230"/>
      <c r="AH39" s="230"/>
      <c r="AI39" s="230"/>
      <c r="AJ39" s="456"/>
      <c r="AK39" s="456"/>
      <c r="AL39" s="456"/>
      <c r="AM39" s="456"/>
      <c r="AN39" s="456"/>
      <c r="AO39" s="456"/>
      <c r="AP39" s="456"/>
      <c r="AQ39" s="456"/>
      <c r="AR39" s="456"/>
      <c r="AS39" s="456"/>
      <c r="AT39" s="456"/>
      <c r="AU39" s="456"/>
      <c r="AV39" s="456"/>
      <c r="AW39" s="456"/>
      <c r="AX39" s="456"/>
      <c r="AY39" s="456"/>
      <c r="AZ39" s="456"/>
    </row>
    <row r="40" spans="2:52" s="237" customFormat="1" x14ac:dyDescent="0.25">
      <c r="B40" s="230"/>
      <c r="C40" s="230"/>
      <c r="D40" s="230"/>
      <c r="E40" s="230"/>
      <c r="F40" s="230"/>
      <c r="G40" s="230"/>
      <c r="H40" s="230"/>
      <c r="I40" s="440"/>
      <c r="J40" s="230"/>
      <c r="K40" s="230"/>
      <c r="L40" s="440"/>
      <c r="M40" s="230"/>
      <c r="N40" s="665"/>
      <c r="O40" s="230"/>
      <c r="P40" s="230"/>
      <c r="Q40" s="230"/>
      <c r="R40" s="230"/>
      <c r="S40" s="230"/>
      <c r="T40" s="230"/>
      <c r="U40" s="230"/>
      <c r="V40" s="230"/>
      <c r="W40" s="230"/>
      <c r="X40" s="230"/>
      <c r="Y40" s="230"/>
      <c r="Z40" s="230"/>
      <c r="AA40" s="230"/>
      <c r="AB40" s="474"/>
      <c r="AC40" s="474"/>
      <c r="AD40" s="474"/>
      <c r="AE40" s="474"/>
      <c r="AF40" s="456"/>
      <c r="AG40" s="230"/>
      <c r="AH40" s="230"/>
      <c r="AI40" s="230"/>
      <c r="AJ40" s="456"/>
      <c r="AK40" s="456"/>
      <c r="AL40" s="456"/>
      <c r="AM40" s="456"/>
      <c r="AN40" s="456"/>
      <c r="AO40" s="456"/>
      <c r="AP40" s="456"/>
      <c r="AQ40" s="456"/>
      <c r="AR40" s="456"/>
      <c r="AS40" s="456"/>
      <c r="AT40" s="456"/>
      <c r="AU40" s="456"/>
      <c r="AV40" s="456"/>
      <c r="AW40" s="456"/>
      <c r="AX40" s="456"/>
      <c r="AY40" s="456"/>
      <c r="AZ40" s="456"/>
    </row>
    <row r="41" spans="2:52" s="237" customFormat="1" x14ac:dyDescent="0.25">
      <c r="B41" s="230"/>
      <c r="C41" s="230"/>
      <c r="D41" s="230"/>
      <c r="E41" s="230"/>
      <c r="F41" s="230"/>
      <c r="G41" s="230"/>
      <c r="H41" s="230"/>
      <c r="I41" s="440"/>
      <c r="J41" s="230"/>
      <c r="K41" s="230"/>
      <c r="L41" s="440"/>
      <c r="M41" s="230"/>
      <c r="N41" s="665"/>
      <c r="O41" s="230"/>
      <c r="P41" s="230"/>
      <c r="Q41" s="230"/>
      <c r="R41" s="230"/>
      <c r="S41" s="230"/>
      <c r="T41" s="230"/>
      <c r="U41" s="230"/>
      <c r="V41" s="230"/>
      <c r="W41" s="230"/>
      <c r="X41" s="230"/>
      <c r="Y41" s="230"/>
      <c r="Z41" s="230"/>
      <c r="AA41" s="230"/>
      <c r="AB41" s="474"/>
      <c r="AC41" s="474"/>
      <c r="AD41" s="474"/>
      <c r="AE41" s="474"/>
      <c r="AF41" s="456"/>
      <c r="AG41" s="230"/>
      <c r="AH41" s="230"/>
      <c r="AI41" s="230"/>
      <c r="AJ41" s="456"/>
      <c r="AK41" s="456"/>
      <c r="AL41" s="456"/>
      <c r="AM41" s="456"/>
      <c r="AN41" s="456"/>
      <c r="AO41" s="456"/>
      <c r="AP41" s="456"/>
      <c r="AQ41" s="456"/>
      <c r="AR41" s="456"/>
      <c r="AS41" s="456"/>
      <c r="AT41" s="456"/>
      <c r="AU41" s="456"/>
      <c r="AV41" s="456"/>
      <c r="AW41" s="456"/>
      <c r="AX41" s="456"/>
      <c r="AY41" s="456"/>
      <c r="AZ41" s="456"/>
    </row>
    <row r="42" spans="2:52" s="237" customFormat="1" x14ac:dyDescent="0.25">
      <c r="B42" s="230"/>
      <c r="C42" s="230"/>
      <c r="D42" s="230"/>
      <c r="E42" s="230"/>
      <c r="F42" s="230"/>
      <c r="G42" s="230"/>
      <c r="H42" s="230"/>
      <c r="I42" s="440"/>
      <c r="J42" s="230"/>
      <c r="K42" s="230"/>
      <c r="L42" s="440"/>
      <c r="M42" s="230"/>
      <c r="N42" s="665"/>
      <c r="O42" s="230"/>
      <c r="P42" s="230"/>
      <c r="Q42" s="230"/>
      <c r="R42" s="230"/>
      <c r="S42" s="230"/>
      <c r="T42" s="230"/>
      <c r="U42" s="230"/>
      <c r="V42" s="230"/>
      <c r="W42" s="230"/>
      <c r="X42" s="230"/>
      <c r="Y42" s="230"/>
      <c r="Z42" s="230"/>
      <c r="AA42" s="230"/>
      <c r="AB42" s="474"/>
      <c r="AC42" s="474"/>
      <c r="AD42" s="474"/>
      <c r="AE42" s="474"/>
      <c r="AF42" s="456"/>
      <c r="AG42" s="230"/>
      <c r="AH42" s="230"/>
      <c r="AI42" s="230"/>
      <c r="AJ42" s="456"/>
      <c r="AK42" s="456"/>
      <c r="AL42" s="456"/>
      <c r="AM42" s="456"/>
      <c r="AN42" s="456"/>
      <c r="AO42" s="456"/>
      <c r="AP42" s="456"/>
      <c r="AQ42" s="456"/>
      <c r="AR42" s="456"/>
      <c r="AS42" s="456"/>
      <c r="AT42" s="456"/>
      <c r="AU42" s="456"/>
      <c r="AV42" s="456"/>
      <c r="AW42" s="456"/>
      <c r="AX42" s="456"/>
      <c r="AY42" s="456"/>
      <c r="AZ42" s="456"/>
    </row>
    <row r="43" spans="2:52" s="237" customFormat="1" x14ac:dyDescent="0.25">
      <c r="B43" s="230"/>
      <c r="C43" s="230"/>
      <c r="D43" s="230"/>
      <c r="E43" s="230"/>
      <c r="F43" s="230"/>
      <c r="G43" s="230"/>
      <c r="H43" s="230"/>
      <c r="I43" s="440"/>
      <c r="J43" s="230"/>
      <c r="K43" s="230"/>
      <c r="L43" s="440"/>
      <c r="M43" s="230"/>
      <c r="N43" s="665"/>
      <c r="O43" s="230"/>
      <c r="P43" s="230"/>
      <c r="Q43" s="230"/>
      <c r="R43" s="230"/>
      <c r="S43" s="230"/>
      <c r="T43" s="230"/>
      <c r="U43" s="230"/>
      <c r="V43" s="230"/>
      <c r="W43" s="230"/>
      <c r="X43" s="230"/>
      <c r="Y43" s="230"/>
      <c r="Z43" s="230"/>
      <c r="AA43" s="230"/>
      <c r="AB43" s="474"/>
      <c r="AC43" s="474"/>
      <c r="AD43" s="474"/>
      <c r="AE43" s="474"/>
      <c r="AF43" s="456"/>
      <c r="AG43" s="230"/>
      <c r="AH43" s="230"/>
      <c r="AI43" s="230"/>
      <c r="AJ43" s="456"/>
      <c r="AK43" s="456"/>
      <c r="AL43" s="456"/>
      <c r="AM43" s="456"/>
      <c r="AN43" s="456"/>
      <c r="AO43" s="456"/>
      <c r="AP43" s="456"/>
      <c r="AQ43" s="456"/>
      <c r="AR43" s="456"/>
      <c r="AS43" s="456"/>
      <c r="AT43" s="456"/>
      <c r="AU43" s="456"/>
      <c r="AV43" s="456"/>
      <c r="AW43" s="456"/>
      <c r="AX43" s="456"/>
      <c r="AY43" s="456"/>
      <c r="AZ43" s="456"/>
    </row>
    <row r="44" spans="2:52" s="237" customFormat="1" x14ac:dyDescent="0.25">
      <c r="B44" s="230"/>
      <c r="C44" s="230"/>
      <c r="D44" s="230"/>
      <c r="E44" s="230"/>
      <c r="F44" s="230"/>
      <c r="G44" s="230"/>
      <c r="H44" s="230"/>
      <c r="I44" s="440"/>
      <c r="J44" s="230"/>
      <c r="K44" s="230"/>
      <c r="L44" s="440"/>
      <c r="M44" s="230"/>
      <c r="N44" s="665"/>
      <c r="O44" s="230"/>
      <c r="P44" s="230"/>
      <c r="Q44" s="230"/>
      <c r="R44" s="230"/>
      <c r="S44" s="230"/>
      <c r="T44" s="230"/>
      <c r="U44" s="230"/>
      <c r="V44" s="230"/>
      <c r="W44" s="230"/>
      <c r="X44" s="230"/>
      <c r="Y44" s="230"/>
      <c r="Z44" s="230"/>
      <c r="AA44" s="230"/>
      <c r="AB44" s="474"/>
      <c r="AC44" s="474"/>
      <c r="AD44" s="474"/>
      <c r="AE44" s="474"/>
      <c r="AF44" s="456"/>
      <c r="AG44" s="230"/>
      <c r="AH44" s="230"/>
      <c r="AI44" s="230"/>
      <c r="AJ44" s="456"/>
      <c r="AK44" s="456"/>
      <c r="AL44" s="456"/>
      <c r="AM44" s="456"/>
      <c r="AN44" s="456"/>
      <c r="AO44" s="456"/>
      <c r="AP44" s="456"/>
      <c r="AQ44" s="456"/>
      <c r="AR44" s="456"/>
      <c r="AS44" s="456"/>
      <c r="AT44" s="456"/>
      <c r="AU44" s="456"/>
      <c r="AV44" s="456"/>
      <c r="AW44" s="456"/>
      <c r="AX44" s="456"/>
      <c r="AY44" s="456"/>
      <c r="AZ44" s="456"/>
    </row>
    <row r="45" spans="2:52" s="237" customFormat="1" x14ac:dyDescent="0.25">
      <c r="B45" s="230"/>
      <c r="C45" s="230"/>
      <c r="D45" s="230"/>
      <c r="E45" s="230"/>
      <c r="F45" s="230"/>
      <c r="G45" s="230"/>
      <c r="H45" s="230"/>
      <c r="I45" s="440"/>
      <c r="J45" s="230"/>
      <c r="K45" s="230"/>
      <c r="L45" s="440"/>
      <c r="M45" s="230"/>
      <c r="N45" s="665"/>
      <c r="O45" s="230"/>
      <c r="P45" s="230"/>
      <c r="Q45" s="230"/>
      <c r="R45" s="230"/>
      <c r="S45" s="230"/>
      <c r="T45" s="230"/>
      <c r="U45" s="230"/>
      <c r="V45" s="230"/>
      <c r="W45" s="230"/>
      <c r="X45" s="230"/>
      <c r="Y45" s="230"/>
      <c r="Z45" s="230"/>
      <c r="AA45" s="230"/>
      <c r="AB45" s="474"/>
      <c r="AC45" s="474"/>
      <c r="AD45" s="474"/>
      <c r="AE45" s="474"/>
      <c r="AF45" s="456"/>
      <c r="AG45" s="230"/>
      <c r="AH45" s="230"/>
      <c r="AI45" s="230"/>
      <c r="AJ45" s="456"/>
      <c r="AK45" s="456"/>
      <c r="AL45" s="456"/>
      <c r="AM45" s="456"/>
      <c r="AN45" s="456"/>
      <c r="AO45" s="456"/>
      <c r="AP45" s="456"/>
      <c r="AQ45" s="456"/>
      <c r="AR45" s="456"/>
      <c r="AS45" s="456"/>
      <c r="AT45" s="456"/>
      <c r="AU45" s="456"/>
      <c r="AV45" s="456"/>
      <c r="AW45" s="456"/>
      <c r="AX45" s="456"/>
      <c r="AY45" s="456"/>
      <c r="AZ45" s="456"/>
    </row>
    <row r="46" spans="2:52" s="237" customFormat="1" x14ac:dyDescent="0.25">
      <c r="B46" s="230"/>
      <c r="C46" s="230"/>
      <c r="D46" s="230"/>
      <c r="E46" s="230"/>
      <c r="F46" s="230"/>
      <c r="G46" s="230"/>
      <c r="H46" s="230"/>
      <c r="I46" s="440"/>
      <c r="J46" s="230"/>
      <c r="K46" s="230"/>
      <c r="L46" s="440"/>
      <c r="M46" s="230"/>
      <c r="N46" s="665"/>
      <c r="O46" s="230"/>
      <c r="P46" s="230"/>
      <c r="Q46" s="230"/>
      <c r="R46" s="230"/>
      <c r="S46" s="230"/>
      <c r="T46" s="230"/>
      <c r="U46" s="230"/>
      <c r="V46" s="230"/>
      <c r="W46" s="230"/>
      <c r="X46" s="230"/>
      <c r="Y46" s="230"/>
      <c r="Z46" s="230"/>
      <c r="AA46" s="230"/>
      <c r="AB46" s="474"/>
      <c r="AC46" s="474"/>
      <c r="AD46" s="474"/>
      <c r="AE46" s="474"/>
      <c r="AF46" s="456"/>
      <c r="AG46" s="230"/>
      <c r="AH46" s="230"/>
      <c r="AI46" s="230"/>
      <c r="AJ46" s="456"/>
      <c r="AK46" s="456"/>
      <c r="AL46" s="456"/>
      <c r="AM46" s="456"/>
      <c r="AN46" s="456"/>
      <c r="AO46" s="456"/>
      <c r="AP46" s="456"/>
      <c r="AQ46" s="456"/>
      <c r="AR46" s="456"/>
      <c r="AS46" s="456"/>
      <c r="AT46" s="456"/>
      <c r="AU46" s="456"/>
      <c r="AV46" s="456"/>
      <c r="AW46" s="456"/>
      <c r="AX46" s="456"/>
      <c r="AY46" s="456"/>
      <c r="AZ46" s="456"/>
    </row>
    <row r="47" spans="2:52" s="237" customFormat="1" x14ac:dyDescent="0.25">
      <c r="B47" s="230"/>
      <c r="C47" s="230"/>
      <c r="D47" s="230"/>
      <c r="E47" s="230"/>
      <c r="F47" s="230"/>
      <c r="G47" s="230"/>
      <c r="H47" s="230"/>
      <c r="I47" s="440"/>
      <c r="J47" s="230"/>
      <c r="K47" s="230"/>
      <c r="L47" s="440"/>
      <c r="M47" s="230"/>
      <c r="N47" s="665"/>
      <c r="O47" s="230"/>
      <c r="P47" s="230"/>
      <c r="Q47" s="230"/>
      <c r="R47" s="230"/>
      <c r="S47" s="230"/>
      <c r="T47" s="230"/>
      <c r="U47" s="230"/>
      <c r="V47" s="230"/>
      <c r="W47" s="230"/>
      <c r="X47" s="230"/>
      <c r="Y47" s="230"/>
      <c r="Z47" s="230"/>
      <c r="AA47" s="230"/>
      <c r="AB47" s="474"/>
      <c r="AC47" s="474"/>
      <c r="AD47" s="474"/>
      <c r="AE47" s="474"/>
      <c r="AF47" s="456"/>
      <c r="AG47" s="230"/>
      <c r="AH47" s="230"/>
      <c r="AI47" s="230"/>
      <c r="AJ47" s="456"/>
      <c r="AK47" s="456"/>
      <c r="AL47" s="456"/>
      <c r="AM47" s="456"/>
      <c r="AN47" s="456"/>
      <c r="AO47" s="456"/>
      <c r="AP47" s="456"/>
      <c r="AQ47" s="456"/>
      <c r="AR47" s="456"/>
      <c r="AS47" s="456"/>
      <c r="AT47" s="456"/>
      <c r="AU47" s="456"/>
      <c r="AV47" s="456"/>
      <c r="AW47" s="456"/>
      <c r="AX47" s="456"/>
      <c r="AY47" s="456"/>
      <c r="AZ47" s="456"/>
    </row>
    <row r="48" spans="2:52" s="237" customFormat="1" x14ac:dyDescent="0.25">
      <c r="B48" s="230"/>
      <c r="C48" s="230"/>
      <c r="D48" s="230"/>
      <c r="E48" s="230"/>
      <c r="F48" s="230"/>
      <c r="G48" s="230"/>
      <c r="H48" s="230"/>
      <c r="I48" s="440"/>
      <c r="J48" s="230"/>
      <c r="K48" s="230"/>
      <c r="L48" s="440"/>
      <c r="M48" s="230"/>
      <c r="N48" s="665"/>
      <c r="O48" s="230"/>
      <c r="P48" s="230"/>
      <c r="Q48" s="230"/>
      <c r="R48" s="230"/>
      <c r="S48" s="230"/>
      <c r="T48" s="230"/>
      <c r="U48" s="230"/>
      <c r="V48" s="230"/>
      <c r="W48" s="230"/>
      <c r="X48" s="230"/>
      <c r="Y48" s="230"/>
      <c r="Z48" s="230"/>
      <c r="AA48" s="230"/>
      <c r="AB48" s="474"/>
      <c r="AC48" s="474"/>
      <c r="AD48" s="474"/>
      <c r="AE48" s="474"/>
      <c r="AF48" s="456"/>
      <c r="AG48" s="230"/>
      <c r="AH48" s="230"/>
      <c r="AI48" s="230"/>
      <c r="AJ48" s="456"/>
      <c r="AK48" s="456"/>
      <c r="AL48" s="456"/>
      <c r="AM48" s="456"/>
      <c r="AN48" s="456"/>
      <c r="AO48" s="456"/>
      <c r="AP48" s="456"/>
      <c r="AQ48" s="456"/>
      <c r="AR48" s="456"/>
      <c r="AS48" s="456"/>
      <c r="AT48" s="456"/>
      <c r="AU48" s="456"/>
      <c r="AV48" s="456"/>
      <c r="AW48" s="456"/>
      <c r="AX48" s="456"/>
      <c r="AY48" s="456"/>
      <c r="AZ48" s="456"/>
    </row>
    <row r="49" spans="2:52" s="237" customFormat="1" x14ac:dyDescent="0.25">
      <c r="B49" s="230"/>
      <c r="C49" s="230"/>
      <c r="D49" s="230"/>
      <c r="E49" s="230"/>
      <c r="F49" s="230"/>
      <c r="G49" s="230"/>
      <c r="H49" s="230"/>
      <c r="I49" s="440"/>
      <c r="J49" s="230"/>
      <c r="K49" s="230"/>
      <c r="L49" s="440"/>
      <c r="M49" s="230"/>
      <c r="N49" s="665"/>
      <c r="O49" s="230"/>
      <c r="P49" s="230"/>
      <c r="Q49" s="230"/>
      <c r="R49" s="230"/>
      <c r="S49" s="230"/>
      <c r="T49" s="230"/>
      <c r="U49" s="230"/>
      <c r="V49" s="230"/>
      <c r="W49" s="230"/>
      <c r="X49" s="230"/>
      <c r="Y49" s="230"/>
      <c r="Z49" s="230"/>
      <c r="AA49" s="230"/>
      <c r="AB49" s="474"/>
      <c r="AC49" s="474"/>
      <c r="AD49" s="474"/>
      <c r="AE49" s="474"/>
      <c r="AF49" s="456"/>
      <c r="AG49" s="230"/>
      <c r="AH49" s="230"/>
      <c r="AI49" s="230"/>
      <c r="AJ49" s="456"/>
      <c r="AK49" s="456"/>
      <c r="AL49" s="456"/>
      <c r="AM49" s="456"/>
      <c r="AN49" s="456"/>
      <c r="AO49" s="456"/>
      <c r="AP49" s="456"/>
      <c r="AQ49" s="456"/>
      <c r="AR49" s="456"/>
      <c r="AS49" s="456"/>
      <c r="AT49" s="456"/>
      <c r="AU49" s="456"/>
      <c r="AV49" s="456"/>
      <c r="AW49" s="456"/>
      <c r="AX49" s="456"/>
      <c r="AY49" s="456"/>
      <c r="AZ49" s="456"/>
    </row>
    <row r="50" spans="2:52" s="237" customFormat="1" x14ac:dyDescent="0.25">
      <c r="B50" s="230"/>
      <c r="C50" s="230"/>
      <c r="D50" s="230"/>
      <c r="E50" s="230"/>
      <c r="F50" s="230"/>
      <c r="G50" s="230"/>
      <c r="H50" s="230"/>
      <c r="I50" s="440"/>
      <c r="J50" s="230"/>
      <c r="K50" s="230"/>
      <c r="L50" s="440"/>
      <c r="M50" s="230"/>
      <c r="N50" s="665"/>
      <c r="O50" s="230"/>
      <c r="P50" s="230"/>
      <c r="Q50" s="230"/>
      <c r="R50" s="230"/>
      <c r="S50" s="230"/>
      <c r="T50" s="230"/>
      <c r="U50" s="230"/>
      <c r="V50" s="230"/>
      <c r="W50" s="230"/>
      <c r="X50" s="230"/>
      <c r="Y50" s="230"/>
      <c r="Z50" s="230"/>
      <c r="AA50" s="230"/>
      <c r="AB50" s="474"/>
      <c r="AC50" s="474"/>
      <c r="AD50" s="474"/>
      <c r="AE50" s="474"/>
      <c r="AF50" s="456"/>
      <c r="AG50" s="230"/>
      <c r="AH50" s="230"/>
      <c r="AI50" s="230"/>
      <c r="AJ50" s="456"/>
      <c r="AK50" s="456"/>
      <c r="AL50" s="456"/>
      <c r="AM50" s="456"/>
      <c r="AN50" s="456"/>
      <c r="AO50" s="456"/>
      <c r="AP50" s="456"/>
      <c r="AQ50" s="456"/>
      <c r="AR50" s="456"/>
      <c r="AS50" s="456"/>
      <c r="AT50" s="456"/>
      <c r="AU50" s="456"/>
      <c r="AV50" s="456"/>
      <c r="AW50" s="456"/>
      <c r="AX50" s="456"/>
      <c r="AY50" s="456"/>
      <c r="AZ50" s="456"/>
    </row>
    <row r="51" spans="2:52" s="237" customFormat="1" x14ac:dyDescent="0.25">
      <c r="B51" s="230"/>
      <c r="C51" s="230"/>
      <c r="D51" s="230"/>
      <c r="E51" s="230"/>
      <c r="F51" s="230"/>
      <c r="G51" s="230"/>
      <c r="H51" s="230"/>
      <c r="I51" s="440"/>
      <c r="J51" s="230"/>
      <c r="K51" s="230"/>
      <c r="L51" s="440"/>
      <c r="M51" s="230"/>
      <c r="N51" s="665"/>
      <c r="O51" s="230"/>
      <c r="P51" s="230"/>
      <c r="Q51" s="230"/>
      <c r="R51" s="230"/>
      <c r="S51" s="230"/>
      <c r="T51" s="230"/>
      <c r="U51" s="230"/>
      <c r="V51" s="230"/>
      <c r="W51" s="230"/>
      <c r="X51" s="230"/>
      <c r="Y51" s="230"/>
      <c r="Z51" s="230"/>
      <c r="AA51" s="230"/>
      <c r="AB51" s="474"/>
      <c r="AC51" s="474"/>
      <c r="AD51" s="474"/>
      <c r="AE51" s="474"/>
      <c r="AF51" s="456"/>
      <c r="AG51" s="230"/>
      <c r="AH51" s="230"/>
      <c r="AI51" s="230"/>
      <c r="AJ51" s="456"/>
      <c r="AK51" s="456"/>
      <c r="AL51" s="456"/>
      <c r="AM51" s="456"/>
      <c r="AN51" s="456"/>
      <c r="AO51" s="456"/>
      <c r="AP51" s="456"/>
      <c r="AQ51" s="456"/>
      <c r="AR51" s="456"/>
      <c r="AS51" s="456"/>
      <c r="AT51" s="456"/>
      <c r="AU51" s="456"/>
      <c r="AV51" s="456"/>
      <c r="AW51" s="456"/>
      <c r="AX51" s="456"/>
      <c r="AY51" s="456"/>
      <c r="AZ51" s="456"/>
    </row>
    <row r="52" spans="2:52" s="237" customFormat="1" x14ac:dyDescent="0.25">
      <c r="B52" s="230"/>
      <c r="C52" s="230"/>
      <c r="D52" s="230"/>
      <c r="E52" s="230"/>
      <c r="F52" s="230"/>
      <c r="G52" s="230"/>
      <c r="H52" s="230"/>
      <c r="I52" s="440"/>
      <c r="J52" s="230"/>
      <c r="K52" s="230"/>
      <c r="L52" s="440"/>
      <c r="M52" s="230"/>
      <c r="N52" s="665"/>
      <c r="O52" s="230"/>
      <c r="P52" s="230"/>
      <c r="Q52" s="230"/>
      <c r="R52" s="230"/>
      <c r="S52" s="230"/>
      <c r="T52" s="230"/>
      <c r="U52" s="230"/>
      <c r="V52" s="230"/>
      <c r="W52" s="230"/>
      <c r="X52" s="230"/>
      <c r="Y52" s="230"/>
      <c r="Z52" s="230"/>
      <c r="AA52" s="230"/>
      <c r="AB52" s="474"/>
      <c r="AC52" s="474"/>
      <c r="AD52" s="474"/>
      <c r="AE52" s="474"/>
      <c r="AF52" s="456"/>
      <c r="AG52" s="230"/>
      <c r="AH52" s="230"/>
      <c r="AI52" s="230"/>
      <c r="AJ52" s="456"/>
      <c r="AK52" s="456"/>
      <c r="AL52" s="456"/>
      <c r="AM52" s="456"/>
      <c r="AN52" s="456"/>
      <c r="AO52" s="456"/>
      <c r="AP52" s="456"/>
      <c r="AQ52" s="456"/>
      <c r="AR52" s="456"/>
      <c r="AS52" s="456"/>
      <c r="AT52" s="456"/>
      <c r="AU52" s="456"/>
      <c r="AV52" s="456"/>
      <c r="AW52" s="456"/>
      <c r="AX52" s="456"/>
      <c r="AY52" s="456"/>
      <c r="AZ52" s="456"/>
    </row>
    <row r="53" spans="2:52" s="237" customFormat="1" x14ac:dyDescent="0.25">
      <c r="B53" s="230"/>
      <c r="C53" s="230"/>
      <c r="D53" s="230"/>
      <c r="E53" s="230"/>
      <c r="F53" s="230"/>
      <c r="G53" s="230"/>
      <c r="H53" s="230"/>
      <c r="I53" s="440"/>
      <c r="J53" s="230"/>
      <c r="K53" s="230"/>
      <c r="L53" s="440"/>
      <c r="M53" s="230"/>
      <c r="N53" s="665"/>
      <c r="O53" s="230"/>
      <c r="P53" s="230"/>
      <c r="Q53" s="230"/>
      <c r="R53" s="230"/>
      <c r="S53" s="230"/>
      <c r="T53" s="230"/>
      <c r="U53" s="230"/>
      <c r="V53" s="230"/>
      <c r="W53" s="230"/>
      <c r="X53" s="230"/>
      <c r="Y53" s="230"/>
      <c r="Z53" s="230"/>
      <c r="AA53" s="230"/>
      <c r="AB53" s="474"/>
      <c r="AC53" s="474"/>
      <c r="AD53" s="474"/>
      <c r="AE53" s="474"/>
      <c r="AF53" s="456"/>
      <c r="AG53" s="230"/>
      <c r="AH53" s="230"/>
      <c r="AI53" s="230"/>
      <c r="AJ53" s="456"/>
      <c r="AK53" s="456"/>
      <c r="AL53" s="456"/>
      <c r="AM53" s="456"/>
      <c r="AN53" s="456"/>
      <c r="AO53" s="456"/>
      <c r="AP53" s="456"/>
      <c r="AQ53" s="456"/>
      <c r="AR53" s="456"/>
      <c r="AS53" s="456"/>
      <c r="AT53" s="456"/>
      <c r="AU53" s="456"/>
      <c r="AV53" s="456"/>
      <c r="AW53" s="456"/>
      <c r="AX53" s="456"/>
      <c r="AY53" s="456"/>
      <c r="AZ53" s="456"/>
    </row>
    <row r="54" spans="2:52" s="237" customFormat="1" x14ac:dyDescent="0.25">
      <c r="B54" s="230"/>
      <c r="C54" s="230"/>
      <c r="D54" s="230"/>
      <c r="E54" s="230"/>
      <c r="F54" s="230"/>
      <c r="G54" s="230"/>
      <c r="H54" s="230"/>
      <c r="I54" s="440"/>
      <c r="J54" s="230"/>
      <c r="K54" s="230"/>
      <c r="L54" s="440"/>
      <c r="M54" s="230"/>
      <c r="N54" s="665"/>
      <c r="O54" s="230"/>
      <c r="P54" s="230"/>
      <c r="Q54" s="230"/>
      <c r="R54" s="230"/>
      <c r="S54" s="230"/>
      <c r="T54" s="230"/>
      <c r="U54" s="230"/>
      <c r="V54" s="230"/>
      <c r="W54" s="230"/>
      <c r="X54" s="230"/>
      <c r="Y54" s="230"/>
      <c r="Z54" s="230"/>
      <c r="AA54" s="230"/>
      <c r="AB54" s="474"/>
      <c r="AC54" s="474"/>
      <c r="AD54" s="474"/>
      <c r="AE54" s="474"/>
      <c r="AF54" s="456"/>
      <c r="AG54" s="230"/>
      <c r="AH54" s="230"/>
      <c r="AI54" s="230"/>
      <c r="AJ54" s="456"/>
      <c r="AK54" s="456"/>
      <c r="AL54" s="456"/>
      <c r="AM54" s="456"/>
      <c r="AN54" s="456"/>
      <c r="AO54" s="456"/>
      <c r="AP54" s="456"/>
      <c r="AQ54" s="456"/>
      <c r="AR54" s="456"/>
      <c r="AS54" s="456"/>
      <c r="AT54" s="456"/>
      <c r="AU54" s="456"/>
      <c r="AV54" s="456"/>
      <c r="AW54" s="456"/>
      <c r="AX54" s="456"/>
      <c r="AY54" s="456"/>
      <c r="AZ54" s="456"/>
    </row>
    <row r="55" spans="2:52" s="237" customFormat="1" x14ac:dyDescent="0.25">
      <c r="B55" s="230"/>
      <c r="C55" s="230"/>
      <c r="D55" s="230"/>
      <c r="E55" s="230"/>
      <c r="F55" s="230"/>
      <c r="G55" s="230"/>
      <c r="H55" s="230"/>
      <c r="I55" s="440"/>
      <c r="J55" s="230"/>
      <c r="K55" s="230"/>
      <c r="L55" s="440"/>
      <c r="M55" s="230"/>
      <c r="N55" s="665"/>
      <c r="O55" s="230"/>
      <c r="P55" s="230"/>
      <c r="Q55" s="230"/>
      <c r="R55" s="230"/>
      <c r="S55" s="230"/>
      <c r="T55" s="230"/>
      <c r="U55" s="230"/>
      <c r="V55" s="230"/>
      <c r="W55" s="230"/>
      <c r="X55" s="230"/>
      <c r="Y55" s="230"/>
      <c r="Z55" s="230"/>
      <c r="AA55" s="230"/>
      <c r="AB55" s="474"/>
      <c r="AC55" s="474"/>
      <c r="AD55" s="474"/>
      <c r="AE55" s="474"/>
      <c r="AF55" s="456"/>
      <c r="AG55" s="230"/>
      <c r="AH55" s="230"/>
      <c r="AI55" s="230"/>
      <c r="AJ55" s="456"/>
      <c r="AK55" s="456"/>
      <c r="AL55" s="456"/>
      <c r="AM55" s="456"/>
      <c r="AN55" s="456"/>
      <c r="AO55" s="456"/>
      <c r="AP55" s="456"/>
      <c r="AQ55" s="456"/>
      <c r="AR55" s="456"/>
      <c r="AS55" s="456"/>
      <c r="AT55" s="456"/>
      <c r="AU55" s="456"/>
      <c r="AV55" s="456"/>
      <c r="AW55" s="456"/>
      <c r="AX55" s="456"/>
      <c r="AY55" s="456"/>
      <c r="AZ55" s="456"/>
    </row>
    <row r="56" spans="2:52" s="237" customFormat="1" x14ac:dyDescent="0.25">
      <c r="B56" s="230"/>
      <c r="C56" s="230"/>
      <c r="D56" s="230"/>
      <c r="E56" s="230"/>
      <c r="F56" s="230"/>
      <c r="G56" s="230"/>
      <c r="H56" s="230"/>
      <c r="I56" s="440"/>
      <c r="J56" s="230"/>
      <c r="K56" s="230"/>
      <c r="L56" s="440"/>
      <c r="M56" s="230"/>
      <c r="N56" s="665"/>
      <c r="O56" s="230"/>
      <c r="P56" s="230"/>
      <c r="Q56" s="230"/>
      <c r="R56" s="230"/>
      <c r="S56" s="230"/>
      <c r="T56" s="230"/>
      <c r="U56" s="230"/>
      <c r="V56" s="230"/>
      <c r="W56" s="230"/>
      <c r="X56" s="230"/>
      <c r="Y56" s="230"/>
      <c r="Z56" s="230"/>
      <c r="AA56" s="230"/>
      <c r="AB56" s="474"/>
      <c r="AC56" s="474"/>
      <c r="AD56" s="474"/>
      <c r="AE56" s="474"/>
      <c r="AF56" s="456"/>
      <c r="AG56" s="230"/>
      <c r="AH56" s="230"/>
      <c r="AI56" s="230"/>
      <c r="AJ56" s="456"/>
      <c r="AK56" s="456"/>
      <c r="AL56" s="456"/>
      <c r="AM56" s="456"/>
      <c r="AN56" s="456"/>
      <c r="AO56" s="456"/>
      <c r="AP56" s="456"/>
      <c r="AQ56" s="456"/>
      <c r="AR56" s="456"/>
      <c r="AS56" s="456"/>
      <c r="AT56" s="456"/>
      <c r="AU56" s="456"/>
      <c r="AV56" s="456"/>
      <c r="AW56" s="456"/>
      <c r="AX56" s="456"/>
      <c r="AY56" s="456"/>
      <c r="AZ56" s="456"/>
    </row>
    <row r="57" spans="2:52" s="237" customFormat="1" x14ac:dyDescent="0.25">
      <c r="B57" s="230"/>
      <c r="C57" s="230"/>
      <c r="D57" s="230"/>
      <c r="E57" s="230"/>
      <c r="F57" s="230"/>
      <c r="G57" s="230"/>
      <c r="H57" s="230"/>
      <c r="I57" s="440"/>
      <c r="J57" s="230"/>
      <c r="K57" s="230"/>
      <c r="L57" s="440"/>
      <c r="M57" s="230"/>
      <c r="N57" s="665"/>
      <c r="O57" s="230"/>
      <c r="P57" s="230"/>
      <c r="Q57" s="230"/>
      <c r="R57" s="230"/>
      <c r="S57" s="230"/>
      <c r="T57" s="230"/>
      <c r="U57" s="230"/>
      <c r="V57" s="230"/>
      <c r="W57" s="230"/>
      <c r="X57" s="230"/>
      <c r="Y57" s="230"/>
      <c r="Z57" s="230"/>
      <c r="AA57" s="230"/>
      <c r="AB57" s="474"/>
      <c r="AC57" s="474"/>
      <c r="AD57" s="474"/>
      <c r="AE57" s="474"/>
      <c r="AF57" s="456"/>
      <c r="AG57" s="230"/>
      <c r="AH57" s="230"/>
      <c r="AI57" s="230"/>
      <c r="AJ57" s="456"/>
      <c r="AK57" s="456"/>
      <c r="AL57" s="456"/>
      <c r="AM57" s="456"/>
      <c r="AN57" s="456"/>
      <c r="AO57" s="456"/>
      <c r="AP57" s="456"/>
      <c r="AQ57" s="456"/>
      <c r="AR57" s="456"/>
      <c r="AS57" s="456"/>
      <c r="AT57" s="456"/>
      <c r="AU57" s="456"/>
      <c r="AV57" s="456"/>
      <c r="AW57" s="456"/>
      <c r="AX57" s="456"/>
      <c r="AY57" s="456"/>
      <c r="AZ57" s="456"/>
    </row>
    <row r="58" spans="2:52" s="237" customFormat="1" x14ac:dyDescent="0.25">
      <c r="B58" s="230"/>
      <c r="C58" s="230"/>
      <c r="D58" s="230"/>
      <c r="E58" s="230"/>
      <c r="F58" s="230"/>
      <c r="G58" s="230"/>
      <c r="H58" s="230"/>
      <c r="I58" s="440"/>
      <c r="J58" s="230"/>
      <c r="K58" s="230"/>
      <c r="L58" s="440"/>
      <c r="M58" s="230"/>
      <c r="N58" s="665"/>
      <c r="O58" s="230"/>
      <c r="P58" s="230"/>
      <c r="Q58" s="230"/>
      <c r="R58" s="230"/>
      <c r="S58" s="230"/>
      <c r="T58" s="230"/>
      <c r="U58" s="230"/>
      <c r="V58" s="230"/>
      <c r="W58" s="230"/>
      <c r="X58" s="230"/>
      <c r="Y58" s="230"/>
      <c r="Z58" s="230"/>
      <c r="AA58" s="230"/>
      <c r="AB58" s="474"/>
      <c r="AC58" s="474"/>
      <c r="AD58" s="474"/>
      <c r="AE58" s="474"/>
      <c r="AF58" s="456"/>
      <c r="AG58" s="230"/>
      <c r="AH58" s="230"/>
      <c r="AI58" s="230"/>
      <c r="AJ58" s="456"/>
      <c r="AK58" s="456"/>
      <c r="AL58" s="456"/>
      <c r="AM58" s="456"/>
      <c r="AN58" s="456"/>
      <c r="AO58" s="456"/>
      <c r="AP58" s="456"/>
      <c r="AQ58" s="456"/>
      <c r="AR58" s="456"/>
      <c r="AS58" s="456"/>
      <c r="AT58" s="456"/>
      <c r="AU58" s="456"/>
      <c r="AV58" s="456"/>
      <c r="AW58" s="456"/>
      <c r="AX58" s="456"/>
      <c r="AY58" s="456"/>
      <c r="AZ58" s="456"/>
    </row>
    <row r="59" spans="2:52" s="237" customFormat="1" x14ac:dyDescent="0.25">
      <c r="B59" s="230"/>
      <c r="C59" s="230"/>
      <c r="D59" s="230"/>
      <c r="E59" s="230"/>
      <c r="F59" s="230"/>
      <c r="G59" s="230"/>
      <c r="H59" s="230"/>
      <c r="I59" s="440"/>
      <c r="J59" s="230"/>
      <c r="K59" s="230"/>
      <c r="L59" s="440"/>
      <c r="M59" s="230"/>
      <c r="N59" s="665"/>
      <c r="O59" s="230"/>
      <c r="P59" s="230"/>
      <c r="Q59" s="230"/>
      <c r="R59" s="230"/>
      <c r="S59" s="230"/>
      <c r="T59" s="230"/>
      <c r="U59" s="230"/>
      <c r="V59" s="230"/>
      <c r="W59" s="230"/>
      <c r="X59" s="230"/>
      <c r="Y59" s="230"/>
      <c r="Z59" s="230"/>
      <c r="AA59" s="230"/>
      <c r="AB59" s="474"/>
      <c r="AC59" s="474"/>
      <c r="AD59" s="474"/>
      <c r="AE59" s="474"/>
      <c r="AF59" s="456"/>
      <c r="AG59" s="230"/>
      <c r="AH59" s="230"/>
      <c r="AI59" s="230"/>
      <c r="AJ59" s="456"/>
      <c r="AK59" s="456"/>
      <c r="AL59" s="456"/>
      <c r="AM59" s="456"/>
      <c r="AN59" s="456"/>
      <c r="AO59" s="456"/>
      <c r="AP59" s="456"/>
      <c r="AQ59" s="456"/>
      <c r="AR59" s="456"/>
      <c r="AS59" s="456"/>
      <c r="AT59" s="456"/>
      <c r="AU59" s="456"/>
      <c r="AV59" s="456"/>
      <c r="AW59" s="456"/>
      <c r="AX59" s="456"/>
      <c r="AY59" s="456"/>
      <c r="AZ59" s="456"/>
    </row>
    <row r="60" spans="2:52" s="237" customFormat="1" x14ac:dyDescent="0.25">
      <c r="B60" s="230"/>
      <c r="C60" s="230"/>
      <c r="D60" s="230"/>
      <c r="E60" s="230"/>
      <c r="F60" s="230"/>
      <c r="G60" s="230"/>
      <c r="H60" s="230"/>
      <c r="I60" s="440"/>
      <c r="J60" s="230"/>
      <c r="K60" s="230"/>
      <c r="L60" s="440"/>
      <c r="M60" s="230"/>
      <c r="N60" s="665"/>
      <c r="O60" s="230"/>
      <c r="P60" s="230"/>
      <c r="Q60" s="230"/>
      <c r="R60" s="230"/>
      <c r="S60" s="230"/>
      <c r="T60" s="230"/>
      <c r="U60" s="230"/>
      <c r="V60" s="230"/>
      <c r="W60" s="230"/>
      <c r="X60" s="230"/>
      <c r="Y60" s="230"/>
      <c r="Z60" s="230"/>
      <c r="AA60" s="230"/>
      <c r="AB60" s="474"/>
      <c r="AC60" s="474"/>
      <c r="AD60" s="474"/>
      <c r="AE60" s="474"/>
      <c r="AF60" s="456"/>
      <c r="AG60" s="230"/>
      <c r="AH60" s="230"/>
      <c r="AI60" s="230"/>
      <c r="AJ60" s="456"/>
      <c r="AK60" s="456"/>
      <c r="AL60" s="456"/>
      <c r="AM60" s="456"/>
      <c r="AN60" s="456"/>
      <c r="AO60" s="456"/>
      <c r="AP60" s="456"/>
      <c r="AQ60" s="456"/>
      <c r="AR60" s="456"/>
      <c r="AS60" s="456"/>
      <c r="AT60" s="456"/>
      <c r="AU60" s="456"/>
      <c r="AV60" s="456"/>
      <c r="AW60" s="456"/>
      <c r="AX60" s="456"/>
      <c r="AY60" s="456"/>
      <c r="AZ60" s="456"/>
    </row>
    <row r="61" spans="2:52" s="237" customFormat="1" x14ac:dyDescent="0.25">
      <c r="B61" s="230"/>
      <c r="C61" s="230"/>
      <c r="D61" s="230"/>
      <c r="E61" s="230"/>
      <c r="F61" s="230"/>
      <c r="G61" s="230"/>
      <c r="H61" s="230"/>
      <c r="I61" s="440"/>
      <c r="J61" s="230"/>
      <c r="K61" s="230"/>
      <c r="L61" s="440"/>
      <c r="M61" s="230"/>
      <c r="N61" s="665"/>
      <c r="O61" s="230"/>
      <c r="P61" s="230"/>
      <c r="Q61" s="230"/>
      <c r="R61" s="230"/>
      <c r="S61" s="230"/>
      <c r="T61" s="230"/>
      <c r="U61" s="230"/>
      <c r="V61" s="230"/>
      <c r="W61" s="230"/>
      <c r="X61" s="230"/>
      <c r="Y61" s="230"/>
      <c r="Z61" s="230"/>
      <c r="AA61" s="230"/>
      <c r="AB61" s="474"/>
      <c r="AC61" s="474"/>
      <c r="AD61" s="474"/>
      <c r="AE61" s="474"/>
      <c r="AF61" s="456"/>
      <c r="AG61" s="230"/>
      <c r="AH61" s="230"/>
      <c r="AI61" s="230"/>
      <c r="AJ61" s="456"/>
      <c r="AK61" s="456"/>
      <c r="AL61" s="456"/>
      <c r="AM61" s="456"/>
      <c r="AN61" s="456"/>
      <c r="AO61" s="456"/>
      <c r="AP61" s="456"/>
      <c r="AQ61" s="456"/>
      <c r="AR61" s="456"/>
      <c r="AS61" s="456"/>
      <c r="AT61" s="456"/>
      <c r="AU61" s="456"/>
      <c r="AV61" s="456"/>
      <c r="AW61" s="456"/>
      <c r="AX61" s="456"/>
      <c r="AY61" s="456"/>
      <c r="AZ61" s="456"/>
    </row>
    <row r="62" spans="2:52" s="237" customFormat="1" x14ac:dyDescent="0.25">
      <c r="B62" s="230"/>
      <c r="C62" s="230"/>
      <c r="D62" s="230"/>
      <c r="E62" s="230"/>
      <c r="F62" s="230"/>
      <c r="G62" s="230"/>
      <c r="H62" s="230"/>
      <c r="I62" s="440"/>
      <c r="J62" s="230"/>
      <c r="K62" s="230"/>
      <c r="L62" s="440"/>
      <c r="M62" s="230"/>
      <c r="N62" s="665"/>
      <c r="O62" s="230"/>
      <c r="P62" s="230"/>
      <c r="Q62" s="230"/>
      <c r="R62" s="230"/>
      <c r="S62" s="230"/>
      <c r="T62" s="230"/>
      <c r="U62" s="230"/>
      <c r="V62" s="230"/>
      <c r="W62" s="230"/>
      <c r="X62" s="230"/>
      <c r="Y62" s="230"/>
      <c r="Z62" s="230"/>
      <c r="AA62" s="230"/>
      <c r="AB62" s="474"/>
      <c r="AC62" s="474"/>
      <c r="AD62" s="474"/>
      <c r="AE62" s="474"/>
      <c r="AF62" s="456"/>
      <c r="AG62" s="230"/>
      <c r="AH62" s="230"/>
      <c r="AI62" s="230"/>
      <c r="AJ62" s="456"/>
      <c r="AK62" s="456"/>
      <c r="AL62" s="456"/>
      <c r="AM62" s="456"/>
      <c r="AN62" s="456"/>
      <c r="AO62" s="456"/>
      <c r="AP62" s="456"/>
      <c r="AQ62" s="456"/>
      <c r="AR62" s="456"/>
      <c r="AS62" s="456"/>
      <c r="AT62" s="456"/>
      <c r="AU62" s="456"/>
      <c r="AV62" s="456"/>
      <c r="AW62" s="456"/>
      <c r="AX62" s="456"/>
      <c r="AY62" s="456"/>
      <c r="AZ62" s="456"/>
    </row>
    <row r="63" spans="2:52" s="237" customFormat="1" x14ac:dyDescent="0.25">
      <c r="B63" s="230"/>
      <c r="C63" s="230"/>
      <c r="D63" s="230"/>
      <c r="E63" s="230"/>
      <c r="F63" s="230"/>
      <c r="G63" s="230"/>
      <c r="H63" s="230"/>
      <c r="I63" s="440"/>
      <c r="J63" s="230"/>
      <c r="K63" s="230"/>
      <c r="L63" s="440"/>
      <c r="M63" s="230"/>
      <c r="N63" s="665"/>
      <c r="O63" s="230"/>
      <c r="P63" s="230"/>
      <c r="Q63" s="230"/>
      <c r="R63" s="230"/>
      <c r="S63" s="230"/>
      <c r="T63" s="230"/>
      <c r="U63" s="230"/>
      <c r="V63" s="230"/>
      <c r="W63" s="230"/>
      <c r="X63" s="230"/>
      <c r="Y63" s="230"/>
      <c r="Z63" s="230"/>
      <c r="AA63" s="230"/>
      <c r="AB63" s="474"/>
      <c r="AC63" s="474"/>
      <c r="AD63" s="474"/>
      <c r="AE63" s="474"/>
      <c r="AF63" s="456"/>
      <c r="AG63" s="230"/>
      <c r="AH63" s="230"/>
      <c r="AI63" s="230"/>
      <c r="AJ63" s="456"/>
      <c r="AK63" s="456"/>
      <c r="AL63" s="456"/>
      <c r="AM63" s="456"/>
      <c r="AN63" s="456"/>
      <c r="AO63" s="456"/>
      <c r="AP63" s="456"/>
      <c r="AQ63" s="456"/>
      <c r="AR63" s="456"/>
      <c r="AS63" s="456"/>
      <c r="AT63" s="456"/>
      <c r="AU63" s="456"/>
      <c r="AV63" s="456"/>
      <c r="AW63" s="456"/>
      <c r="AX63" s="456"/>
      <c r="AY63" s="456"/>
      <c r="AZ63" s="456"/>
    </row>
    <row r="64" spans="2:52" s="237" customFormat="1" x14ac:dyDescent="0.25">
      <c r="B64" s="230"/>
      <c r="C64" s="230"/>
      <c r="D64" s="230"/>
      <c r="E64" s="230"/>
      <c r="F64" s="230"/>
      <c r="G64" s="230"/>
      <c r="H64" s="230"/>
      <c r="I64" s="440"/>
      <c r="J64" s="230"/>
      <c r="K64" s="230"/>
      <c r="L64" s="440"/>
      <c r="M64" s="230"/>
      <c r="N64" s="665"/>
      <c r="O64" s="230"/>
      <c r="P64" s="230"/>
      <c r="Q64" s="230"/>
      <c r="R64" s="230"/>
      <c r="S64" s="230"/>
      <c r="T64" s="230"/>
      <c r="U64" s="230"/>
      <c r="V64" s="230"/>
      <c r="W64" s="230"/>
      <c r="X64" s="230"/>
      <c r="Y64" s="230"/>
      <c r="Z64" s="230"/>
      <c r="AA64" s="230"/>
      <c r="AB64" s="474"/>
      <c r="AC64" s="474"/>
      <c r="AD64" s="474"/>
      <c r="AE64" s="474"/>
      <c r="AF64" s="456"/>
      <c r="AG64" s="230"/>
      <c r="AH64" s="230"/>
      <c r="AI64" s="230"/>
      <c r="AJ64" s="456"/>
      <c r="AK64" s="456"/>
      <c r="AL64" s="456"/>
      <c r="AM64" s="456"/>
      <c r="AN64" s="456"/>
      <c r="AO64" s="456"/>
      <c r="AP64" s="456"/>
      <c r="AQ64" s="456"/>
      <c r="AR64" s="456"/>
      <c r="AS64" s="456"/>
      <c r="AT64" s="456"/>
      <c r="AU64" s="456"/>
      <c r="AV64" s="456"/>
      <c r="AW64" s="456"/>
      <c r="AX64" s="456"/>
      <c r="AY64" s="456"/>
      <c r="AZ64" s="456"/>
    </row>
    <row r="65" spans="2:52" s="237" customFormat="1" x14ac:dyDescent="0.25">
      <c r="B65" s="230"/>
      <c r="C65" s="230"/>
      <c r="D65" s="230"/>
      <c r="E65" s="230"/>
      <c r="F65" s="230"/>
      <c r="G65" s="230"/>
      <c r="H65" s="230"/>
      <c r="I65" s="440"/>
      <c r="J65" s="230"/>
      <c r="K65" s="230"/>
      <c r="L65" s="440"/>
      <c r="M65" s="230"/>
      <c r="N65" s="665"/>
      <c r="O65" s="230"/>
      <c r="P65" s="230"/>
      <c r="Q65" s="230"/>
      <c r="R65" s="230"/>
      <c r="S65" s="230"/>
      <c r="T65" s="230"/>
      <c r="U65" s="230"/>
      <c r="V65" s="230"/>
      <c r="W65" s="230"/>
      <c r="X65" s="230"/>
      <c r="Y65" s="230"/>
      <c r="Z65" s="230"/>
      <c r="AA65" s="230"/>
      <c r="AB65" s="474"/>
      <c r="AC65" s="474"/>
      <c r="AD65" s="474"/>
      <c r="AE65" s="474"/>
      <c r="AF65" s="456"/>
      <c r="AG65" s="230"/>
      <c r="AH65" s="230"/>
      <c r="AI65" s="230"/>
      <c r="AJ65" s="456"/>
      <c r="AK65" s="456"/>
      <c r="AL65" s="456"/>
      <c r="AM65" s="456"/>
      <c r="AN65" s="456"/>
      <c r="AO65" s="456"/>
      <c r="AP65" s="456"/>
      <c r="AQ65" s="456"/>
      <c r="AR65" s="456"/>
      <c r="AS65" s="456"/>
      <c r="AT65" s="456"/>
      <c r="AU65" s="456"/>
      <c r="AV65" s="456"/>
      <c r="AW65" s="456"/>
      <c r="AX65" s="456"/>
      <c r="AY65" s="456"/>
      <c r="AZ65" s="456"/>
    </row>
    <row r="66" spans="2:52" s="237" customFormat="1" x14ac:dyDescent="0.25">
      <c r="B66" s="230"/>
      <c r="C66" s="230"/>
      <c r="D66" s="230"/>
      <c r="E66" s="230"/>
      <c r="F66" s="230"/>
      <c r="G66" s="230"/>
      <c r="H66" s="230"/>
      <c r="I66" s="440"/>
      <c r="J66" s="230"/>
      <c r="K66" s="230"/>
      <c r="L66" s="440"/>
      <c r="M66" s="230"/>
      <c r="N66" s="665"/>
      <c r="O66" s="230"/>
      <c r="P66" s="230"/>
      <c r="Q66" s="230"/>
      <c r="R66" s="230"/>
      <c r="S66" s="230"/>
      <c r="T66" s="230"/>
      <c r="U66" s="230"/>
      <c r="V66" s="230"/>
      <c r="W66" s="230"/>
      <c r="X66" s="230"/>
      <c r="Y66" s="230"/>
      <c r="Z66" s="230"/>
      <c r="AA66" s="230"/>
      <c r="AB66" s="474"/>
      <c r="AC66" s="474"/>
      <c r="AD66" s="474"/>
      <c r="AE66" s="474"/>
      <c r="AF66" s="456"/>
      <c r="AG66" s="230"/>
      <c r="AH66" s="230"/>
      <c r="AI66" s="230"/>
      <c r="AJ66" s="456"/>
      <c r="AK66" s="456"/>
      <c r="AL66" s="456"/>
      <c r="AM66" s="456"/>
      <c r="AN66" s="456"/>
      <c r="AO66" s="456"/>
      <c r="AP66" s="456"/>
      <c r="AQ66" s="456"/>
      <c r="AR66" s="456"/>
      <c r="AS66" s="456"/>
      <c r="AT66" s="456"/>
      <c r="AU66" s="456"/>
      <c r="AV66" s="456"/>
      <c r="AW66" s="456"/>
      <c r="AX66" s="456"/>
      <c r="AY66" s="456"/>
      <c r="AZ66" s="456"/>
    </row>
    <row r="67" spans="2:52" s="237" customFormat="1" x14ac:dyDescent="0.25">
      <c r="B67" s="230"/>
      <c r="C67" s="230"/>
      <c r="D67" s="230"/>
      <c r="E67" s="230"/>
      <c r="F67" s="230"/>
      <c r="G67" s="230"/>
      <c r="H67" s="230"/>
      <c r="I67" s="440"/>
      <c r="J67" s="230"/>
      <c r="K67" s="230"/>
      <c r="L67" s="440"/>
      <c r="M67" s="230"/>
      <c r="N67" s="665"/>
      <c r="O67" s="230"/>
      <c r="P67" s="230"/>
      <c r="Q67" s="230"/>
      <c r="R67" s="230"/>
      <c r="S67" s="230"/>
      <c r="T67" s="230"/>
      <c r="U67" s="230"/>
      <c r="V67" s="230"/>
      <c r="W67" s="230"/>
      <c r="X67" s="230"/>
      <c r="Y67" s="230"/>
      <c r="Z67" s="230"/>
      <c r="AA67" s="230"/>
      <c r="AB67" s="474"/>
      <c r="AC67" s="474"/>
      <c r="AD67" s="474"/>
      <c r="AE67" s="474"/>
      <c r="AF67" s="456"/>
      <c r="AG67" s="230"/>
      <c r="AH67" s="230"/>
      <c r="AI67" s="230"/>
      <c r="AJ67" s="456"/>
      <c r="AK67" s="456"/>
      <c r="AL67" s="456"/>
      <c r="AM67" s="456"/>
      <c r="AN67" s="456"/>
      <c r="AO67" s="456"/>
      <c r="AP67" s="456"/>
      <c r="AQ67" s="456"/>
      <c r="AR67" s="456"/>
      <c r="AS67" s="456"/>
      <c r="AT67" s="456"/>
      <c r="AU67" s="456"/>
      <c r="AV67" s="456"/>
      <c r="AW67" s="456"/>
      <c r="AX67" s="456"/>
      <c r="AY67" s="456"/>
      <c r="AZ67" s="456"/>
    </row>
    <row r="68" spans="2:52" s="237" customFormat="1" x14ac:dyDescent="0.25">
      <c r="B68" s="230"/>
      <c r="C68" s="230"/>
      <c r="D68" s="230"/>
      <c r="E68" s="230"/>
      <c r="F68" s="230"/>
      <c r="G68" s="230"/>
      <c r="H68" s="230"/>
      <c r="I68" s="440"/>
      <c r="J68" s="230"/>
      <c r="K68" s="230"/>
      <c r="L68" s="440"/>
      <c r="M68" s="230"/>
      <c r="N68" s="665"/>
      <c r="O68" s="230"/>
      <c r="P68" s="230"/>
      <c r="Q68" s="230"/>
      <c r="R68" s="230"/>
      <c r="S68" s="230"/>
      <c r="T68" s="230"/>
      <c r="U68" s="230"/>
      <c r="V68" s="230"/>
      <c r="W68" s="230"/>
      <c r="X68" s="230"/>
      <c r="Y68" s="230"/>
      <c r="Z68" s="230"/>
      <c r="AA68" s="230"/>
      <c r="AB68" s="474"/>
      <c r="AC68" s="474"/>
      <c r="AD68" s="474"/>
      <c r="AE68" s="474"/>
      <c r="AF68" s="456"/>
      <c r="AG68" s="230"/>
      <c r="AH68" s="230"/>
      <c r="AI68" s="230"/>
      <c r="AJ68" s="456"/>
      <c r="AK68" s="456"/>
      <c r="AL68" s="456"/>
      <c r="AM68" s="456"/>
      <c r="AN68" s="456"/>
      <c r="AO68" s="456"/>
      <c r="AP68" s="456"/>
      <c r="AQ68" s="456"/>
      <c r="AR68" s="456"/>
      <c r="AS68" s="456"/>
      <c r="AT68" s="456"/>
      <c r="AU68" s="456"/>
      <c r="AV68" s="456"/>
      <c r="AW68" s="456"/>
      <c r="AX68" s="456"/>
      <c r="AY68" s="456"/>
      <c r="AZ68" s="456"/>
    </row>
    <row r="69" spans="2:52" s="237" customFormat="1" x14ac:dyDescent="0.25">
      <c r="B69" s="230"/>
      <c r="C69" s="230"/>
      <c r="D69" s="230"/>
      <c r="E69" s="230"/>
      <c r="F69" s="230"/>
      <c r="G69" s="230"/>
      <c r="H69" s="230"/>
      <c r="I69" s="440"/>
      <c r="J69" s="230"/>
      <c r="K69" s="230"/>
      <c r="L69" s="440"/>
      <c r="M69" s="230"/>
      <c r="N69" s="665"/>
      <c r="O69" s="230"/>
      <c r="P69" s="230"/>
      <c r="Q69" s="230"/>
      <c r="R69" s="230"/>
      <c r="S69" s="230"/>
      <c r="T69" s="230"/>
      <c r="U69" s="230"/>
      <c r="V69" s="230"/>
      <c r="W69" s="230"/>
      <c r="X69" s="230"/>
      <c r="Y69" s="230"/>
      <c r="Z69" s="230"/>
      <c r="AA69" s="230"/>
      <c r="AB69" s="474"/>
      <c r="AC69" s="474"/>
      <c r="AD69" s="474"/>
      <c r="AE69" s="474"/>
      <c r="AF69" s="456"/>
      <c r="AG69" s="230"/>
      <c r="AH69" s="230"/>
      <c r="AI69" s="230"/>
      <c r="AJ69" s="456"/>
      <c r="AK69" s="456"/>
      <c r="AL69" s="456"/>
      <c r="AM69" s="456"/>
      <c r="AN69" s="456"/>
      <c r="AO69" s="456"/>
      <c r="AP69" s="456"/>
      <c r="AQ69" s="456"/>
      <c r="AR69" s="456"/>
      <c r="AS69" s="456"/>
      <c r="AT69" s="456"/>
      <c r="AU69" s="456"/>
      <c r="AV69" s="456"/>
      <c r="AW69" s="456"/>
      <c r="AX69" s="456"/>
      <c r="AY69" s="456"/>
      <c r="AZ69" s="456"/>
    </row>
    <row r="70" spans="2:52" s="237" customFormat="1" x14ac:dyDescent="0.25">
      <c r="B70" s="230"/>
      <c r="C70" s="230"/>
      <c r="D70" s="230"/>
      <c r="E70" s="230"/>
      <c r="F70" s="230"/>
      <c r="G70" s="230"/>
      <c r="H70" s="230"/>
      <c r="I70" s="440"/>
      <c r="J70" s="230"/>
      <c r="K70" s="230"/>
      <c r="L70" s="440"/>
      <c r="M70" s="230"/>
      <c r="N70" s="665"/>
      <c r="O70" s="230"/>
      <c r="P70" s="230"/>
      <c r="Q70" s="230"/>
      <c r="R70" s="230"/>
      <c r="S70" s="230"/>
      <c r="T70" s="230"/>
      <c r="U70" s="230"/>
      <c r="V70" s="230"/>
      <c r="W70" s="230"/>
      <c r="X70" s="230"/>
      <c r="Y70" s="230"/>
      <c r="Z70" s="230"/>
      <c r="AA70" s="230"/>
      <c r="AB70" s="474"/>
      <c r="AC70" s="474"/>
      <c r="AD70" s="474"/>
      <c r="AE70" s="474"/>
      <c r="AF70" s="456"/>
      <c r="AG70" s="230"/>
      <c r="AH70" s="230"/>
      <c r="AI70" s="230"/>
      <c r="AJ70" s="456"/>
      <c r="AK70" s="456"/>
      <c r="AL70" s="456"/>
      <c r="AM70" s="456"/>
      <c r="AN70" s="456"/>
      <c r="AO70" s="456"/>
      <c r="AP70" s="456"/>
      <c r="AQ70" s="456"/>
      <c r="AR70" s="456"/>
      <c r="AS70" s="456"/>
      <c r="AT70" s="456"/>
      <c r="AU70" s="456"/>
      <c r="AV70" s="456"/>
      <c r="AW70" s="456"/>
      <c r="AX70" s="456"/>
      <c r="AY70" s="456"/>
      <c r="AZ70" s="456"/>
    </row>
    <row r="71" spans="2:52" s="237" customFormat="1" x14ac:dyDescent="0.25">
      <c r="B71" s="230"/>
      <c r="C71" s="230"/>
      <c r="D71" s="230"/>
      <c r="E71" s="230"/>
      <c r="F71" s="230"/>
      <c r="G71" s="230"/>
      <c r="H71" s="230"/>
      <c r="I71" s="440"/>
      <c r="J71" s="230"/>
      <c r="K71" s="230"/>
      <c r="L71" s="440"/>
      <c r="M71" s="230"/>
      <c r="N71" s="665"/>
      <c r="O71" s="230"/>
      <c r="P71" s="230"/>
      <c r="Q71" s="230"/>
      <c r="R71" s="230"/>
      <c r="S71" s="230"/>
      <c r="T71" s="230"/>
      <c r="U71" s="230"/>
      <c r="V71" s="230"/>
      <c r="W71" s="230"/>
      <c r="X71" s="230"/>
      <c r="Y71" s="230"/>
      <c r="Z71" s="230"/>
      <c r="AA71" s="230"/>
      <c r="AB71" s="474"/>
      <c r="AC71" s="474"/>
      <c r="AD71" s="474"/>
      <c r="AE71" s="474"/>
      <c r="AF71" s="456"/>
      <c r="AG71" s="230"/>
      <c r="AH71" s="230"/>
      <c r="AI71" s="230"/>
      <c r="AJ71" s="456"/>
      <c r="AK71" s="456"/>
      <c r="AL71" s="456"/>
      <c r="AM71" s="456"/>
      <c r="AN71" s="456"/>
      <c r="AO71" s="456"/>
      <c r="AP71" s="456"/>
      <c r="AQ71" s="456"/>
      <c r="AR71" s="456"/>
      <c r="AS71" s="456"/>
      <c r="AT71" s="456"/>
      <c r="AU71" s="456"/>
      <c r="AV71" s="456"/>
      <c r="AW71" s="456"/>
      <c r="AX71" s="456"/>
      <c r="AY71" s="456"/>
      <c r="AZ71" s="456"/>
    </row>
    <row r="72" spans="2:52" s="237" customFormat="1" x14ac:dyDescent="0.25">
      <c r="B72" s="230"/>
      <c r="C72" s="230"/>
      <c r="D72" s="230"/>
      <c r="E72" s="230"/>
      <c r="F72" s="230"/>
      <c r="G72" s="230"/>
      <c r="H72" s="230"/>
      <c r="I72" s="440"/>
      <c r="J72" s="230"/>
      <c r="K72" s="230"/>
      <c r="L72" s="440"/>
      <c r="M72" s="230"/>
      <c r="N72" s="665"/>
      <c r="O72" s="230"/>
      <c r="P72" s="230"/>
      <c r="Q72" s="230"/>
      <c r="R72" s="230"/>
      <c r="S72" s="230"/>
      <c r="T72" s="230"/>
      <c r="U72" s="230"/>
      <c r="V72" s="230"/>
      <c r="W72" s="230"/>
      <c r="X72" s="230"/>
      <c r="Y72" s="230"/>
      <c r="Z72" s="230"/>
      <c r="AA72" s="230"/>
      <c r="AB72" s="474"/>
      <c r="AC72" s="474"/>
      <c r="AD72" s="474"/>
      <c r="AE72" s="474"/>
      <c r="AF72" s="456"/>
      <c r="AG72" s="230"/>
      <c r="AH72" s="230"/>
      <c r="AI72" s="230"/>
      <c r="AJ72" s="456"/>
      <c r="AK72" s="456"/>
      <c r="AL72" s="456"/>
      <c r="AM72" s="456"/>
      <c r="AN72" s="456"/>
      <c r="AO72" s="456"/>
      <c r="AP72" s="456"/>
      <c r="AQ72" s="456"/>
      <c r="AR72" s="456"/>
      <c r="AS72" s="456"/>
      <c r="AT72" s="456"/>
      <c r="AU72" s="456"/>
      <c r="AV72" s="456"/>
      <c r="AW72" s="456"/>
      <c r="AX72" s="456"/>
      <c r="AY72" s="456"/>
      <c r="AZ72" s="456"/>
    </row>
    <row r="73" spans="2:52" s="237" customFormat="1" x14ac:dyDescent="0.25">
      <c r="B73" s="230"/>
      <c r="C73" s="230"/>
      <c r="D73" s="230"/>
      <c r="E73" s="230"/>
      <c r="F73" s="230"/>
      <c r="G73" s="230"/>
      <c r="H73" s="230"/>
      <c r="I73" s="440"/>
      <c r="J73" s="230"/>
      <c r="K73" s="230"/>
      <c r="L73" s="440"/>
      <c r="M73" s="230"/>
      <c r="N73" s="665"/>
      <c r="O73" s="230"/>
      <c r="P73" s="230"/>
      <c r="Q73" s="230"/>
      <c r="R73" s="230"/>
      <c r="S73" s="230"/>
      <c r="T73" s="230"/>
      <c r="U73" s="230"/>
      <c r="V73" s="230"/>
      <c r="W73" s="230"/>
      <c r="X73" s="230"/>
      <c r="Y73" s="230"/>
      <c r="Z73" s="230"/>
      <c r="AA73" s="230"/>
      <c r="AB73" s="474"/>
      <c r="AC73" s="474"/>
      <c r="AD73" s="474"/>
      <c r="AE73" s="474"/>
      <c r="AF73" s="456"/>
      <c r="AG73" s="230"/>
      <c r="AH73" s="230"/>
      <c r="AI73" s="230"/>
      <c r="AJ73" s="456"/>
      <c r="AK73" s="456"/>
      <c r="AL73" s="456"/>
      <c r="AM73" s="456"/>
      <c r="AN73" s="456"/>
      <c r="AO73" s="456"/>
      <c r="AP73" s="456"/>
      <c r="AQ73" s="456"/>
      <c r="AR73" s="456"/>
      <c r="AS73" s="456"/>
      <c r="AT73" s="456"/>
      <c r="AU73" s="456"/>
      <c r="AV73" s="456"/>
      <c r="AW73" s="456"/>
      <c r="AX73" s="456"/>
      <c r="AY73" s="456"/>
      <c r="AZ73" s="456"/>
    </row>
    <row r="74" spans="2:52" s="237" customFormat="1" x14ac:dyDescent="0.25">
      <c r="B74" s="230"/>
      <c r="C74" s="230"/>
      <c r="D74" s="230"/>
      <c r="E74" s="230"/>
      <c r="F74" s="230"/>
      <c r="G74" s="230"/>
      <c r="H74" s="230"/>
      <c r="I74" s="440"/>
      <c r="J74" s="230"/>
      <c r="K74" s="230"/>
      <c r="L74" s="440"/>
      <c r="M74" s="230"/>
      <c r="N74" s="665"/>
      <c r="O74" s="230"/>
      <c r="P74" s="230"/>
      <c r="Q74" s="230"/>
      <c r="R74" s="230"/>
      <c r="S74" s="230"/>
      <c r="T74" s="230"/>
      <c r="U74" s="230"/>
      <c r="V74" s="230"/>
      <c r="W74" s="230"/>
      <c r="X74" s="230"/>
      <c r="Y74" s="230"/>
      <c r="Z74" s="230"/>
      <c r="AA74" s="230"/>
      <c r="AB74" s="474"/>
      <c r="AC74" s="474"/>
      <c r="AD74" s="474"/>
      <c r="AE74" s="474"/>
      <c r="AF74" s="456"/>
      <c r="AG74" s="230"/>
      <c r="AH74" s="230"/>
      <c r="AI74" s="230"/>
      <c r="AJ74" s="456"/>
      <c r="AK74" s="456"/>
      <c r="AL74" s="456"/>
      <c r="AM74" s="456"/>
      <c r="AN74" s="456"/>
      <c r="AO74" s="456"/>
      <c r="AP74" s="456"/>
      <c r="AQ74" s="456"/>
      <c r="AR74" s="456"/>
      <c r="AS74" s="456"/>
      <c r="AT74" s="456"/>
      <c r="AU74" s="456"/>
      <c r="AV74" s="456"/>
      <c r="AW74" s="456"/>
      <c r="AX74" s="456"/>
      <c r="AY74" s="456"/>
      <c r="AZ74" s="456"/>
    </row>
    <row r="75" spans="2:52" s="237" customFormat="1" x14ac:dyDescent="0.25">
      <c r="B75" s="230"/>
      <c r="C75" s="230"/>
      <c r="D75" s="230"/>
      <c r="E75" s="230"/>
      <c r="F75" s="230"/>
      <c r="G75" s="230"/>
      <c r="H75" s="230"/>
      <c r="I75" s="440"/>
      <c r="J75" s="230"/>
      <c r="K75" s="230"/>
      <c r="L75" s="440"/>
      <c r="M75" s="230"/>
      <c r="N75" s="665"/>
      <c r="O75" s="230"/>
      <c r="P75" s="230"/>
      <c r="Q75" s="230"/>
      <c r="R75" s="230"/>
      <c r="S75" s="230"/>
      <c r="T75" s="230"/>
      <c r="U75" s="230"/>
      <c r="V75" s="230"/>
      <c r="W75" s="230"/>
      <c r="X75" s="230"/>
      <c r="Y75" s="230"/>
      <c r="Z75" s="230"/>
      <c r="AA75" s="230"/>
      <c r="AB75" s="474"/>
      <c r="AC75" s="474"/>
      <c r="AD75" s="474"/>
      <c r="AE75" s="474"/>
      <c r="AF75" s="456"/>
      <c r="AG75" s="230"/>
      <c r="AH75" s="230"/>
      <c r="AI75" s="230"/>
      <c r="AJ75" s="456"/>
      <c r="AK75" s="456"/>
      <c r="AL75" s="456"/>
      <c r="AM75" s="456"/>
      <c r="AN75" s="456"/>
      <c r="AO75" s="456"/>
      <c r="AP75" s="456"/>
      <c r="AQ75" s="456"/>
      <c r="AR75" s="456"/>
      <c r="AS75" s="456"/>
      <c r="AT75" s="456"/>
      <c r="AU75" s="456"/>
      <c r="AV75" s="456"/>
      <c r="AW75" s="456"/>
      <c r="AX75" s="456"/>
      <c r="AY75" s="456"/>
      <c r="AZ75" s="456"/>
    </row>
    <row r="76" spans="2:52" s="237" customFormat="1" x14ac:dyDescent="0.25">
      <c r="B76" s="230"/>
      <c r="C76" s="230"/>
      <c r="D76" s="230"/>
      <c r="E76" s="230"/>
      <c r="F76" s="230"/>
      <c r="G76" s="230"/>
      <c r="H76" s="230"/>
      <c r="I76" s="440"/>
      <c r="J76" s="230"/>
      <c r="K76" s="230"/>
      <c r="L76" s="440"/>
      <c r="M76" s="230"/>
      <c r="N76" s="665"/>
      <c r="O76" s="230"/>
      <c r="P76" s="230"/>
      <c r="Q76" s="230"/>
      <c r="R76" s="230"/>
      <c r="S76" s="230"/>
      <c r="T76" s="230"/>
      <c r="U76" s="230"/>
      <c r="V76" s="230"/>
      <c r="W76" s="230"/>
      <c r="X76" s="230"/>
      <c r="Y76" s="230"/>
      <c r="Z76" s="230"/>
      <c r="AA76" s="230"/>
      <c r="AB76" s="474"/>
      <c r="AC76" s="474"/>
      <c r="AD76" s="474"/>
      <c r="AE76" s="474"/>
      <c r="AF76" s="456"/>
      <c r="AG76" s="230"/>
      <c r="AH76" s="230"/>
      <c r="AI76" s="230"/>
      <c r="AJ76" s="456"/>
      <c r="AK76" s="456"/>
      <c r="AL76" s="456"/>
      <c r="AM76" s="456"/>
      <c r="AN76" s="456"/>
      <c r="AO76" s="456"/>
      <c r="AP76" s="456"/>
      <c r="AQ76" s="456"/>
      <c r="AR76" s="456"/>
      <c r="AS76" s="456"/>
      <c r="AT76" s="456"/>
      <c r="AU76" s="456"/>
      <c r="AV76" s="456"/>
      <c r="AW76" s="456"/>
      <c r="AX76" s="456"/>
      <c r="AY76" s="456"/>
      <c r="AZ76" s="456"/>
    </row>
    <row r="77" spans="2:52" s="237" customFormat="1" x14ac:dyDescent="0.25">
      <c r="B77" s="230"/>
      <c r="C77" s="230"/>
      <c r="D77" s="230"/>
      <c r="E77" s="230"/>
      <c r="F77" s="230"/>
      <c r="G77" s="230"/>
      <c r="H77" s="230"/>
      <c r="I77" s="440"/>
      <c r="J77" s="230"/>
      <c r="K77" s="230"/>
      <c r="L77" s="440"/>
      <c r="M77" s="230"/>
      <c r="N77" s="665"/>
      <c r="O77" s="230"/>
      <c r="P77" s="230"/>
      <c r="Q77" s="230"/>
      <c r="R77" s="230"/>
      <c r="S77" s="230"/>
      <c r="T77" s="230"/>
      <c r="U77" s="230"/>
      <c r="V77" s="230"/>
      <c r="W77" s="230"/>
      <c r="X77" s="230"/>
      <c r="Y77" s="230"/>
      <c r="Z77" s="230"/>
      <c r="AA77" s="230"/>
      <c r="AB77" s="474"/>
      <c r="AC77" s="474"/>
      <c r="AD77" s="474"/>
      <c r="AE77" s="474"/>
      <c r="AF77" s="456"/>
      <c r="AG77" s="230"/>
      <c r="AH77" s="230"/>
      <c r="AI77" s="230"/>
      <c r="AJ77" s="456"/>
      <c r="AK77" s="456"/>
      <c r="AL77" s="456"/>
      <c r="AM77" s="456"/>
      <c r="AN77" s="456"/>
      <c r="AO77" s="456"/>
      <c r="AP77" s="456"/>
      <c r="AQ77" s="456"/>
      <c r="AR77" s="456"/>
      <c r="AS77" s="456"/>
      <c r="AT77" s="456"/>
      <c r="AU77" s="456"/>
      <c r="AV77" s="456"/>
      <c r="AW77" s="456"/>
      <c r="AX77" s="456"/>
      <c r="AY77" s="456"/>
      <c r="AZ77" s="456"/>
    </row>
    <row r="78" spans="2:52" s="237" customFormat="1" x14ac:dyDescent="0.25">
      <c r="B78" s="230"/>
      <c r="C78" s="230"/>
      <c r="D78" s="230"/>
      <c r="E78" s="230"/>
      <c r="F78" s="230"/>
      <c r="G78" s="230"/>
      <c r="H78" s="230"/>
      <c r="I78" s="440"/>
      <c r="J78" s="230"/>
      <c r="K78" s="230"/>
      <c r="L78" s="440"/>
      <c r="M78" s="230"/>
      <c r="N78" s="665"/>
      <c r="O78" s="230"/>
      <c r="P78" s="230"/>
      <c r="Q78" s="230"/>
      <c r="R78" s="230"/>
      <c r="S78" s="230"/>
      <c r="T78" s="230"/>
      <c r="U78" s="230"/>
      <c r="V78" s="230"/>
      <c r="W78" s="230"/>
      <c r="X78" s="230"/>
      <c r="Y78" s="230"/>
      <c r="Z78" s="230"/>
      <c r="AA78" s="230"/>
      <c r="AB78" s="474"/>
      <c r="AC78" s="474"/>
      <c r="AD78" s="474"/>
      <c r="AE78" s="474"/>
      <c r="AF78" s="456"/>
      <c r="AG78" s="230"/>
      <c r="AH78" s="230"/>
      <c r="AI78" s="230"/>
      <c r="AJ78" s="456"/>
      <c r="AK78" s="456"/>
      <c r="AL78" s="456"/>
      <c r="AM78" s="456"/>
      <c r="AN78" s="456"/>
      <c r="AO78" s="456"/>
      <c r="AP78" s="456"/>
      <c r="AQ78" s="456"/>
      <c r="AR78" s="456"/>
      <c r="AS78" s="456"/>
      <c r="AT78" s="456"/>
      <c r="AU78" s="456"/>
      <c r="AV78" s="456"/>
      <c r="AW78" s="456"/>
      <c r="AX78" s="456"/>
      <c r="AY78" s="456"/>
      <c r="AZ78" s="456"/>
    </row>
    <row r="79" spans="2:52" s="237" customFormat="1" x14ac:dyDescent="0.25">
      <c r="B79" s="230"/>
      <c r="C79" s="230"/>
      <c r="D79" s="230"/>
      <c r="E79" s="230"/>
      <c r="F79" s="230"/>
      <c r="G79" s="230"/>
      <c r="H79" s="230"/>
      <c r="I79" s="440"/>
      <c r="J79" s="230"/>
      <c r="K79" s="230"/>
      <c r="L79" s="440"/>
      <c r="M79" s="230"/>
      <c r="N79" s="665"/>
      <c r="O79" s="230"/>
      <c r="P79" s="230"/>
      <c r="Q79" s="230"/>
      <c r="R79" s="230"/>
      <c r="S79" s="230"/>
      <c r="T79" s="230"/>
      <c r="U79" s="230"/>
      <c r="V79" s="230"/>
      <c r="W79" s="230"/>
      <c r="X79" s="230"/>
      <c r="Y79" s="230"/>
      <c r="Z79" s="230"/>
      <c r="AA79" s="230"/>
      <c r="AB79" s="474"/>
      <c r="AC79" s="474"/>
      <c r="AD79" s="474"/>
      <c r="AE79" s="474"/>
      <c r="AF79" s="456"/>
      <c r="AG79" s="230"/>
      <c r="AH79" s="230"/>
      <c r="AI79" s="230"/>
      <c r="AJ79" s="456"/>
      <c r="AK79" s="456"/>
      <c r="AL79" s="456"/>
      <c r="AM79" s="456"/>
      <c r="AN79" s="456"/>
      <c r="AO79" s="456"/>
      <c r="AP79" s="456"/>
      <c r="AQ79" s="456"/>
      <c r="AR79" s="456"/>
      <c r="AS79" s="456"/>
      <c r="AT79" s="456"/>
      <c r="AU79" s="456"/>
      <c r="AV79" s="456"/>
      <c r="AW79" s="456"/>
      <c r="AX79" s="456"/>
      <c r="AY79" s="456"/>
      <c r="AZ79" s="456"/>
    </row>
    <row r="80" spans="2:52" s="237" customFormat="1" x14ac:dyDescent="0.25">
      <c r="B80" s="230"/>
      <c r="C80" s="230"/>
      <c r="D80" s="230"/>
      <c r="E80" s="230"/>
      <c r="F80" s="230"/>
      <c r="G80" s="230"/>
      <c r="H80" s="230"/>
      <c r="I80" s="440"/>
      <c r="J80" s="230"/>
      <c r="K80" s="230"/>
      <c r="L80" s="440"/>
      <c r="M80" s="230"/>
      <c r="N80" s="665"/>
      <c r="O80" s="230"/>
      <c r="P80" s="230"/>
      <c r="Q80" s="230"/>
      <c r="R80" s="230"/>
      <c r="S80" s="230"/>
      <c r="T80" s="230"/>
      <c r="U80" s="230"/>
      <c r="V80" s="230"/>
      <c r="W80" s="230"/>
      <c r="X80" s="230"/>
      <c r="Y80" s="230"/>
      <c r="Z80" s="230"/>
      <c r="AA80" s="230"/>
      <c r="AB80" s="474"/>
      <c r="AC80" s="474"/>
      <c r="AD80" s="474"/>
      <c r="AE80" s="474"/>
      <c r="AF80" s="456"/>
      <c r="AG80" s="230"/>
      <c r="AH80" s="230"/>
      <c r="AI80" s="230"/>
      <c r="AJ80" s="456"/>
      <c r="AK80" s="456"/>
      <c r="AL80" s="456"/>
      <c r="AM80" s="456"/>
      <c r="AN80" s="456"/>
      <c r="AO80" s="456"/>
      <c r="AP80" s="456"/>
      <c r="AQ80" s="456"/>
      <c r="AR80" s="456"/>
      <c r="AS80" s="456"/>
      <c r="AT80" s="456"/>
      <c r="AU80" s="456"/>
      <c r="AV80" s="456"/>
      <c r="AW80" s="456"/>
      <c r="AX80" s="456"/>
      <c r="AY80" s="456"/>
      <c r="AZ80" s="456"/>
    </row>
    <row r="81" spans="2:61" s="237" customFormat="1" x14ac:dyDescent="0.25">
      <c r="B81" s="230"/>
      <c r="C81" s="230"/>
      <c r="D81" s="230"/>
      <c r="E81" s="230"/>
      <c r="F81" s="230"/>
      <c r="G81" s="230"/>
      <c r="H81" s="230"/>
      <c r="I81" s="440"/>
      <c r="J81" s="230"/>
      <c r="K81" s="230"/>
      <c r="L81" s="440"/>
      <c r="M81" s="230"/>
      <c r="N81" s="665"/>
      <c r="O81" s="230"/>
      <c r="P81" s="230"/>
      <c r="Q81" s="230"/>
      <c r="R81" s="230"/>
      <c r="S81" s="230"/>
      <c r="T81" s="230"/>
      <c r="U81" s="230"/>
      <c r="V81" s="230"/>
      <c r="W81" s="230"/>
      <c r="X81" s="230"/>
      <c r="Y81" s="230"/>
      <c r="Z81" s="230"/>
      <c r="AA81" s="230"/>
      <c r="AB81" s="474"/>
      <c r="AC81" s="474"/>
      <c r="AD81" s="474"/>
      <c r="AE81" s="474"/>
      <c r="AF81" s="456"/>
      <c r="AG81" s="230"/>
      <c r="AH81" s="230"/>
      <c r="AI81" s="230"/>
      <c r="AJ81" s="456"/>
      <c r="AK81" s="456"/>
      <c r="AL81" s="456"/>
      <c r="AM81" s="456"/>
      <c r="AN81" s="456"/>
      <c r="AO81" s="456"/>
      <c r="AP81" s="456"/>
      <c r="AQ81" s="456"/>
      <c r="AR81" s="456"/>
      <c r="AS81" s="456"/>
      <c r="AT81" s="456"/>
      <c r="AU81" s="456"/>
      <c r="AV81" s="456"/>
      <c r="AW81" s="456"/>
      <c r="AX81" s="456"/>
      <c r="AY81" s="456"/>
      <c r="AZ81" s="456"/>
    </row>
    <row r="82" spans="2:61" s="237" customFormat="1" x14ac:dyDescent="0.25">
      <c r="B82" s="230"/>
      <c r="C82" s="230"/>
      <c r="D82" s="230"/>
      <c r="E82" s="230"/>
      <c r="F82" s="230"/>
      <c r="G82" s="230"/>
      <c r="H82" s="230"/>
      <c r="I82" s="440"/>
      <c r="J82" s="230"/>
      <c r="K82" s="230"/>
      <c r="L82" s="440"/>
      <c r="M82" s="230"/>
      <c r="N82" s="665"/>
      <c r="O82" s="230"/>
      <c r="P82" s="230"/>
      <c r="Q82" s="230"/>
      <c r="R82" s="230"/>
      <c r="S82" s="230"/>
      <c r="T82" s="230"/>
      <c r="U82" s="230"/>
      <c r="V82" s="230"/>
      <c r="W82" s="230"/>
      <c r="X82" s="230"/>
      <c r="Y82" s="230"/>
      <c r="Z82" s="230"/>
      <c r="AA82" s="230"/>
      <c r="AB82" s="474"/>
      <c r="AC82" s="474"/>
      <c r="AD82" s="474"/>
      <c r="AE82" s="474"/>
      <c r="AF82" s="456"/>
      <c r="AG82" s="230"/>
      <c r="AH82" s="230"/>
      <c r="AI82" s="230"/>
      <c r="AJ82" s="456"/>
      <c r="AK82" s="456"/>
      <c r="AL82" s="456"/>
      <c r="AM82" s="456"/>
      <c r="AN82" s="456"/>
      <c r="AO82" s="456"/>
      <c r="AP82" s="456"/>
      <c r="AQ82" s="456"/>
      <c r="AR82" s="456"/>
      <c r="AS82" s="456"/>
      <c r="AT82" s="456"/>
      <c r="AU82" s="456"/>
      <c r="AV82" s="456"/>
      <c r="AW82" s="456"/>
      <c r="AX82" s="456"/>
      <c r="AY82" s="456"/>
      <c r="AZ82" s="456"/>
    </row>
    <row r="83" spans="2:61" s="237" customFormat="1" x14ac:dyDescent="0.3">
      <c r="B83" s="230"/>
      <c r="C83" s="230"/>
      <c r="D83" s="230"/>
      <c r="E83" s="230"/>
      <c r="F83" s="230"/>
      <c r="G83" s="301"/>
      <c r="H83" s="301"/>
      <c r="I83" s="440"/>
      <c r="J83" s="302"/>
      <c r="K83" s="230"/>
      <c r="L83" s="440"/>
      <c r="M83" s="230"/>
      <c r="N83" s="665"/>
      <c r="O83" s="230"/>
      <c r="P83" s="230"/>
      <c r="Q83" s="230"/>
      <c r="R83" s="230"/>
      <c r="S83" s="230"/>
      <c r="T83" s="230"/>
      <c r="U83" s="230"/>
      <c r="V83" s="230"/>
      <c r="W83" s="230"/>
      <c r="X83" s="230"/>
      <c r="Y83" s="230"/>
      <c r="Z83" s="230"/>
      <c r="AA83" s="230"/>
      <c r="AB83" s="474"/>
      <c r="AC83" s="474"/>
      <c r="AD83" s="474"/>
      <c r="AE83" s="474"/>
      <c r="AF83" s="456"/>
      <c r="AG83" s="230"/>
      <c r="AH83" s="230"/>
      <c r="AI83" s="230"/>
      <c r="AJ83" s="456"/>
      <c r="AK83" s="456"/>
      <c r="AL83" s="456"/>
      <c r="AM83" s="456"/>
      <c r="AN83" s="456"/>
      <c r="AO83" s="456"/>
      <c r="AP83" s="456"/>
      <c r="AQ83" s="456"/>
      <c r="AR83" s="456"/>
      <c r="AS83" s="456"/>
      <c r="AT83" s="456"/>
      <c r="AU83" s="456"/>
      <c r="AV83" s="456"/>
      <c r="AW83" s="456"/>
      <c r="AX83" s="456"/>
      <c r="AY83" s="456"/>
      <c r="AZ83" s="456"/>
    </row>
    <row r="84" spans="2:61" s="237" customFormat="1" x14ac:dyDescent="0.3">
      <c r="B84" s="230"/>
      <c r="C84" s="230"/>
      <c r="D84" s="230"/>
      <c r="E84" s="230"/>
      <c r="F84" s="230"/>
      <c r="G84" s="301"/>
      <c r="H84" s="301"/>
      <c r="I84" s="440"/>
      <c r="J84" s="302"/>
      <c r="K84" s="230"/>
      <c r="L84" s="440"/>
      <c r="M84" s="230"/>
      <c r="N84" s="665"/>
      <c r="O84" s="230"/>
      <c r="P84" s="230"/>
      <c r="Q84" s="230"/>
      <c r="R84" s="230"/>
      <c r="S84" s="230"/>
      <c r="T84" s="230"/>
      <c r="U84" s="230"/>
      <c r="V84" s="230"/>
      <c r="W84" s="230"/>
      <c r="X84" s="230"/>
      <c r="Y84" s="230"/>
      <c r="Z84" s="230"/>
      <c r="AA84" s="230"/>
      <c r="AB84" s="474"/>
      <c r="AC84" s="474"/>
      <c r="AD84" s="474"/>
      <c r="AE84" s="474"/>
      <c r="AF84" s="456"/>
      <c r="AG84" s="230"/>
      <c r="AH84" s="230"/>
      <c r="AI84" s="230"/>
      <c r="AJ84" s="456"/>
      <c r="AK84" s="456"/>
      <c r="AL84" s="456"/>
      <c r="AM84" s="456"/>
      <c r="AN84" s="456"/>
      <c r="AO84" s="456"/>
      <c r="AP84" s="456"/>
      <c r="AQ84" s="456"/>
      <c r="AR84" s="456"/>
      <c r="AS84" s="456"/>
      <c r="AT84" s="456"/>
      <c r="AU84" s="456"/>
      <c r="AV84" s="456"/>
      <c r="AW84" s="456"/>
      <c r="AX84" s="456"/>
      <c r="AY84" s="456"/>
      <c r="AZ84" s="456"/>
    </row>
    <row r="85" spans="2:61" s="237" customFormat="1" x14ac:dyDescent="0.3">
      <c r="B85" s="230"/>
      <c r="C85" s="230"/>
      <c r="D85" s="230"/>
      <c r="E85" s="230"/>
      <c r="F85" s="230"/>
      <c r="G85" s="301"/>
      <c r="H85" s="301"/>
      <c r="I85" s="440"/>
      <c r="J85" s="302"/>
      <c r="K85" s="230"/>
      <c r="L85" s="440"/>
      <c r="M85" s="230"/>
      <c r="N85" s="665"/>
      <c r="O85" s="230"/>
      <c r="P85" s="230"/>
      <c r="Q85" s="230"/>
      <c r="R85" s="230"/>
      <c r="S85" s="230"/>
      <c r="T85" s="230"/>
      <c r="U85" s="230"/>
      <c r="V85" s="230"/>
      <c r="W85" s="230"/>
      <c r="X85" s="230"/>
      <c r="Y85" s="230"/>
      <c r="Z85" s="230"/>
      <c r="AA85" s="230"/>
      <c r="AB85" s="474"/>
      <c r="AC85" s="474"/>
      <c r="AD85" s="474"/>
      <c r="AE85" s="474"/>
      <c r="AF85" s="456"/>
      <c r="AG85" s="230"/>
      <c r="AH85" s="230"/>
      <c r="AI85" s="230"/>
      <c r="AJ85" s="456"/>
      <c r="AK85" s="456"/>
      <c r="AL85" s="456"/>
      <c r="AM85" s="456"/>
      <c r="AN85" s="456"/>
      <c r="AO85" s="456"/>
      <c r="AP85" s="456"/>
      <c r="AQ85" s="456"/>
      <c r="AR85" s="456"/>
      <c r="AS85" s="456"/>
      <c r="AT85" s="456"/>
      <c r="AU85" s="456"/>
      <c r="AV85" s="456"/>
      <c r="AW85" s="456"/>
      <c r="AX85" s="456"/>
      <c r="AY85" s="456"/>
      <c r="AZ85" s="456"/>
    </row>
    <row r="86" spans="2:61" s="237" customFormat="1" x14ac:dyDescent="0.3">
      <c r="B86" s="230"/>
      <c r="C86" s="230"/>
      <c r="D86" s="230"/>
      <c r="E86" s="230"/>
      <c r="F86" s="230"/>
      <c r="G86" s="301"/>
      <c r="H86" s="301"/>
      <c r="I86" s="440"/>
      <c r="J86" s="302"/>
      <c r="K86" s="303"/>
      <c r="L86" s="440"/>
      <c r="M86" s="230"/>
      <c r="N86" s="665"/>
      <c r="O86" s="230"/>
      <c r="P86" s="230"/>
      <c r="Q86" s="230"/>
      <c r="R86" s="230"/>
      <c r="S86" s="230"/>
      <c r="T86" s="230"/>
      <c r="U86" s="230"/>
      <c r="V86" s="230"/>
      <c r="W86" s="230"/>
      <c r="X86" s="230"/>
      <c r="Y86" s="230"/>
      <c r="Z86" s="230"/>
      <c r="AA86" s="230"/>
      <c r="AB86" s="474"/>
      <c r="AC86" s="474"/>
      <c r="AD86" s="474"/>
      <c r="AE86" s="474"/>
      <c r="AF86" s="456"/>
      <c r="AG86" s="230"/>
      <c r="AH86" s="230"/>
      <c r="AI86" s="230"/>
      <c r="AJ86" s="456"/>
      <c r="AK86" s="456"/>
      <c r="AL86" s="456"/>
      <c r="AM86" s="456"/>
      <c r="AN86" s="456"/>
      <c r="AO86" s="456"/>
      <c r="AP86" s="456"/>
      <c r="AQ86" s="456"/>
      <c r="AR86" s="456"/>
      <c r="AS86" s="456"/>
      <c r="AT86" s="456"/>
      <c r="AU86" s="456"/>
      <c r="AV86" s="456"/>
      <c r="AW86" s="456"/>
      <c r="AX86" s="456"/>
      <c r="AY86" s="456"/>
      <c r="AZ86" s="456"/>
    </row>
    <row r="87" spans="2:61" s="237" customFormat="1" x14ac:dyDescent="0.3">
      <c r="B87" s="230"/>
      <c r="C87" s="230"/>
      <c r="D87" s="230"/>
      <c r="E87" s="230"/>
      <c r="F87" s="230"/>
      <c r="G87" s="230"/>
      <c r="H87" s="230"/>
      <c r="I87" s="440"/>
      <c r="J87" s="230"/>
      <c r="K87" s="303"/>
      <c r="L87" s="440"/>
      <c r="M87" s="230"/>
      <c r="N87" s="666"/>
      <c r="O87" s="230"/>
      <c r="P87" s="230"/>
      <c r="Q87" s="230"/>
      <c r="R87" s="230"/>
      <c r="S87" s="230"/>
      <c r="T87" s="230"/>
      <c r="U87" s="230"/>
      <c r="V87" s="230"/>
      <c r="W87" s="230"/>
      <c r="X87" s="230"/>
      <c r="Y87" s="230"/>
      <c r="Z87" s="230"/>
      <c r="AA87" s="230"/>
      <c r="AB87" s="474"/>
      <c r="AC87" s="474"/>
      <c r="AD87" s="474"/>
      <c r="AE87" s="474"/>
      <c r="AF87" s="456"/>
      <c r="AG87" s="230"/>
      <c r="AH87" s="230"/>
      <c r="AI87" s="230"/>
      <c r="AJ87" s="456"/>
      <c r="AK87" s="456"/>
      <c r="AL87" s="456"/>
      <c r="AM87" s="456"/>
      <c r="AN87" s="456"/>
      <c r="AO87" s="456"/>
      <c r="AP87" s="456"/>
      <c r="AQ87" s="456"/>
      <c r="AR87" s="456"/>
      <c r="AS87" s="456"/>
      <c r="AT87" s="456"/>
      <c r="AU87" s="456"/>
      <c r="AV87" s="456"/>
      <c r="AW87" s="456"/>
      <c r="AX87" s="456"/>
      <c r="AY87" s="456"/>
      <c r="AZ87" s="456"/>
    </row>
    <row r="88" spans="2:61" s="237" customFormat="1" x14ac:dyDescent="0.3">
      <c r="B88" s="230"/>
      <c r="C88" s="230"/>
      <c r="D88" s="230"/>
      <c r="E88" s="230"/>
      <c r="F88" s="230"/>
      <c r="G88" s="230"/>
      <c r="H88" s="230"/>
      <c r="I88" s="440"/>
      <c r="J88" s="230"/>
      <c r="K88" s="303"/>
      <c r="L88" s="440"/>
      <c r="M88" s="230"/>
      <c r="N88" s="666"/>
      <c r="O88" s="230"/>
      <c r="P88" s="230"/>
      <c r="Q88" s="230"/>
      <c r="R88" s="230"/>
      <c r="S88" s="230"/>
      <c r="T88" s="230"/>
      <c r="U88" s="230"/>
      <c r="V88" s="230"/>
      <c r="W88" s="230"/>
      <c r="X88" s="230"/>
      <c r="Y88" s="230"/>
      <c r="Z88" s="230"/>
      <c r="AA88" s="230"/>
      <c r="AB88" s="474"/>
      <c r="AC88" s="474"/>
      <c r="AD88" s="474"/>
      <c r="AE88" s="474"/>
      <c r="AF88" s="456"/>
      <c r="AG88" s="230"/>
      <c r="AH88" s="230"/>
      <c r="AI88" s="230"/>
      <c r="AJ88" s="456"/>
      <c r="AK88" s="456"/>
      <c r="AL88" s="456"/>
      <c r="AM88" s="456"/>
      <c r="AN88" s="456"/>
      <c r="AO88" s="456"/>
      <c r="AP88" s="456"/>
      <c r="AQ88" s="456"/>
      <c r="AR88" s="456"/>
      <c r="AS88" s="456"/>
      <c r="AT88" s="456"/>
      <c r="AU88" s="456"/>
      <c r="AV88" s="456"/>
      <c r="AW88" s="456"/>
      <c r="AX88" s="456"/>
      <c r="AY88" s="456"/>
      <c r="AZ88" s="456"/>
    </row>
    <row r="89" spans="2:61" s="237" customFormat="1" x14ac:dyDescent="0.3">
      <c r="B89" s="230"/>
      <c r="C89" s="230"/>
      <c r="D89" s="230"/>
      <c r="E89" s="230"/>
      <c r="F89" s="230"/>
      <c r="G89" s="230"/>
      <c r="H89" s="230"/>
      <c r="I89" s="440"/>
      <c r="J89" s="230"/>
      <c r="K89" s="230"/>
      <c r="L89" s="440"/>
      <c r="M89" s="230"/>
      <c r="N89" s="666"/>
      <c r="O89" s="230"/>
      <c r="P89" s="230"/>
      <c r="Q89" s="230"/>
      <c r="R89" s="230"/>
      <c r="S89" s="230"/>
      <c r="T89" s="230"/>
      <c r="U89" s="230"/>
      <c r="V89" s="230"/>
      <c r="W89" s="230"/>
      <c r="X89" s="230"/>
      <c r="Y89" s="230"/>
      <c r="Z89" s="230"/>
      <c r="AA89" s="230"/>
      <c r="AB89" s="474"/>
      <c r="AC89" s="474"/>
      <c r="AD89" s="474"/>
      <c r="AE89" s="474"/>
      <c r="AF89" s="456"/>
      <c r="AG89" s="230"/>
      <c r="AH89" s="230"/>
      <c r="AI89" s="230"/>
      <c r="AJ89" s="456"/>
      <c r="AK89" s="456"/>
      <c r="AL89" s="456"/>
      <c r="AM89" s="456"/>
      <c r="AN89" s="456"/>
      <c r="AO89" s="456"/>
      <c r="AP89" s="456"/>
      <c r="AQ89" s="456"/>
      <c r="AR89" s="456"/>
      <c r="AS89" s="456"/>
      <c r="AT89" s="456"/>
      <c r="AU89" s="456"/>
      <c r="AV89" s="456"/>
      <c r="AW89" s="456"/>
      <c r="AX89" s="456"/>
      <c r="AY89" s="456"/>
      <c r="AZ89" s="456"/>
    </row>
    <row r="90" spans="2:61" s="237" customFormat="1" x14ac:dyDescent="0.25">
      <c r="B90" s="230"/>
      <c r="C90" s="230"/>
      <c r="D90" s="230"/>
      <c r="E90" s="230"/>
      <c r="F90" s="230"/>
      <c r="G90" s="230"/>
      <c r="H90" s="230"/>
      <c r="I90" s="440"/>
      <c r="J90" s="230"/>
      <c r="K90" s="230"/>
      <c r="L90" s="440"/>
      <c r="M90" s="230"/>
      <c r="N90" s="665"/>
      <c r="O90" s="230"/>
      <c r="P90" s="230"/>
      <c r="Q90" s="230"/>
      <c r="R90" s="230"/>
      <c r="S90" s="230"/>
      <c r="T90" s="230"/>
      <c r="U90" s="230"/>
      <c r="V90" s="230"/>
      <c r="W90" s="230"/>
      <c r="X90" s="230"/>
      <c r="Y90" s="230"/>
      <c r="Z90" s="230"/>
      <c r="AA90" s="230"/>
      <c r="AB90" s="474"/>
      <c r="AC90" s="474"/>
      <c r="AD90" s="474"/>
      <c r="AE90" s="474"/>
      <c r="AF90" s="456"/>
      <c r="AG90" s="230"/>
      <c r="AH90" s="230"/>
      <c r="AI90" s="230"/>
      <c r="AJ90" s="456"/>
      <c r="AK90" s="456"/>
      <c r="AL90" s="456"/>
      <c r="AM90" s="456"/>
      <c r="AN90" s="456"/>
      <c r="AO90" s="456"/>
      <c r="AP90" s="456"/>
      <c r="AQ90" s="456"/>
      <c r="AR90" s="456"/>
      <c r="AS90" s="456"/>
      <c r="AT90" s="456"/>
      <c r="AU90" s="456"/>
      <c r="AV90" s="456"/>
      <c r="AW90" s="456"/>
      <c r="AX90" s="456"/>
      <c r="AY90" s="456"/>
      <c r="AZ90" s="456"/>
    </row>
    <row r="91" spans="2:61" s="237" customFormat="1" x14ac:dyDescent="0.25">
      <c r="B91" s="230"/>
      <c r="C91" s="230"/>
      <c r="D91" s="230"/>
      <c r="E91" s="230"/>
      <c r="F91" s="230"/>
      <c r="G91" s="230"/>
      <c r="H91" s="230"/>
      <c r="I91" s="440"/>
      <c r="J91" s="230"/>
      <c r="K91" s="230"/>
      <c r="L91" s="440"/>
      <c r="M91" s="230"/>
      <c r="N91" s="665"/>
      <c r="O91" s="230"/>
      <c r="P91" s="230"/>
      <c r="Q91" s="230"/>
      <c r="R91" s="230"/>
      <c r="S91" s="230"/>
      <c r="T91" s="230"/>
      <c r="U91" s="230"/>
      <c r="V91" s="230"/>
      <c r="W91" s="230"/>
      <c r="X91" s="230"/>
      <c r="Y91" s="230"/>
      <c r="Z91" s="230"/>
      <c r="AA91" s="230"/>
      <c r="AB91" s="474"/>
      <c r="AC91" s="474"/>
      <c r="AD91" s="474"/>
      <c r="AE91" s="474"/>
      <c r="AF91" s="456"/>
      <c r="AG91" s="230"/>
      <c r="AH91" s="230"/>
      <c r="AI91" s="230"/>
      <c r="AJ91" s="456"/>
      <c r="AK91" s="456"/>
      <c r="AL91" s="456"/>
      <c r="AM91" s="456"/>
      <c r="AN91" s="456"/>
      <c r="AO91" s="456"/>
      <c r="AP91" s="456"/>
      <c r="AQ91" s="456"/>
      <c r="AR91" s="456"/>
      <c r="AS91" s="456"/>
      <c r="AT91" s="456"/>
      <c r="AU91" s="456"/>
      <c r="AV91" s="456"/>
      <c r="AW91" s="456"/>
      <c r="AX91" s="456"/>
      <c r="AY91" s="456"/>
      <c r="AZ91" s="456"/>
    </row>
    <row r="92" spans="2:61" s="237" customFormat="1" x14ac:dyDescent="0.2">
      <c r="B92" s="230">
        <v>2018</v>
      </c>
      <c r="C92" s="230"/>
      <c r="D92" s="230"/>
      <c r="E92" s="230"/>
      <c r="F92" s="230"/>
      <c r="G92" s="304" t="s">
        <v>44</v>
      </c>
      <c r="H92" s="304"/>
      <c r="I92" s="468" t="s">
        <v>45</v>
      </c>
      <c r="J92" s="303" t="s">
        <v>46</v>
      </c>
      <c r="K92" s="230"/>
      <c r="L92" s="440"/>
      <c r="M92" s="230"/>
      <c r="N92" s="667"/>
      <c r="O92" s="230"/>
      <c r="P92" s="230"/>
      <c r="Q92" s="230"/>
      <c r="R92" s="230"/>
      <c r="S92" s="230"/>
      <c r="T92" s="230"/>
      <c r="U92" s="230"/>
      <c r="V92" s="230"/>
      <c r="W92" s="230"/>
      <c r="X92" s="230"/>
      <c r="Y92" s="230"/>
      <c r="Z92" s="230"/>
      <c r="AA92" s="230"/>
      <c r="AB92" s="474"/>
      <c r="AC92" s="474"/>
      <c r="AD92" s="474"/>
      <c r="AE92" s="474"/>
      <c r="AF92" s="456"/>
      <c r="AG92" s="230"/>
      <c r="AH92" s="230"/>
      <c r="AI92" s="230"/>
      <c r="AJ92" s="456"/>
      <c r="AK92" s="456"/>
      <c r="AL92" s="456"/>
      <c r="AM92" s="456"/>
      <c r="AN92" s="456"/>
      <c r="AO92" s="456"/>
      <c r="AP92" s="456"/>
      <c r="AQ92" s="456"/>
      <c r="AR92" s="456"/>
      <c r="AS92" s="456"/>
      <c r="AT92" s="456"/>
      <c r="AU92" s="456"/>
      <c r="AV92" s="456"/>
      <c r="AW92" s="456"/>
      <c r="AX92" s="456"/>
      <c r="AY92" s="456"/>
      <c r="AZ92" s="456"/>
    </row>
    <row r="93" spans="2:61" s="237" customFormat="1" x14ac:dyDescent="0.3">
      <c r="B93" s="230">
        <v>2019</v>
      </c>
      <c r="C93" s="230"/>
      <c r="D93" s="230"/>
      <c r="E93" s="230"/>
      <c r="F93" s="230"/>
      <c r="G93" s="301" t="s">
        <v>177</v>
      </c>
      <c r="H93" s="301"/>
      <c r="I93" s="440" t="s">
        <v>180</v>
      </c>
      <c r="J93" s="302" t="s">
        <v>47</v>
      </c>
      <c r="K93" s="303" t="s">
        <v>206</v>
      </c>
      <c r="L93" s="468" t="s">
        <v>48</v>
      </c>
      <c r="M93" s="303" t="s">
        <v>49</v>
      </c>
      <c r="N93" s="666" t="s">
        <v>212</v>
      </c>
      <c r="O93" s="303"/>
      <c r="P93" s="303"/>
      <c r="Q93" s="303"/>
      <c r="R93" s="303"/>
      <c r="S93" s="303"/>
      <c r="T93" s="303"/>
      <c r="U93" s="303"/>
      <c r="V93" s="303"/>
      <c r="W93" s="303"/>
      <c r="X93" s="303"/>
      <c r="Y93" s="303"/>
      <c r="Z93" s="303"/>
      <c r="AA93" s="303"/>
      <c r="AB93" s="468"/>
      <c r="AC93" s="468"/>
      <c r="AD93" s="468"/>
      <c r="AE93" s="474"/>
      <c r="AF93" s="456"/>
      <c r="AG93" s="230"/>
      <c r="AH93" s="230"/>
      <c r="AI93" s="230"/>
      <c r="AJ93" s="456"/>
      <c r="AK93" s="456"/>
      <c r="AL93" s="456"/>
      <c r="AM93" s="456"/>
      <c r="AN93" s="456"/>
      <c r="AO93" s="456"/>
      <c r="AP93" s="456"/>
      <c r="AQ93" s="456"/>
      <c r="AR93" s="456"/>
      <c r="AS93" s="456"/>
      <c r="AT93" s="456"/>
      <c r="AU93" s="456"/>
      <c r="AV93" s="456"/>
      <c r="AW93" s="456"/>
      <c r="AX93" s="456"/>
      <c r="AY93" s="456"/>
      <c r="AZ93" s="456"/>
    </row>
    <row r="94" spans="2:61" s="237" customFormat="1" x14ac:dyDescent="0.3">
      <c r="B94" s="230">
        <v>2020</v>
      </c>
      <c r="C94" s="230"/>
      <c r="D94" s="230"/>
      <c r="E94" s="230"/>
      <c r="F94" s="230"/>
      <c r="G94" s="301" t="s">
        <v>178</v>
      </c>
      <c r="H94" s="301"/>
      <c r="I94" s="440" t="s">
        <v>181</v>
      </c>
      <c r="J94" s="302" t="s">
        <v>50</v>
      </c>
      <c r="K94" s="303" t="s">
        <v>207</v>
      </c>
      <c r="L94" s="468" t="s">
        <v>48</v>
      </c>
      <c r="M94" s="303" t="s">
        <v>49</v>
      </c>
      <c r="N94" s="667" t="s">
        <v>213</v>
      </c>
      <c r="O94" s="303"/>
      <c r="P94" s="303"/>
      <c r="Q94" s="303"/>
      <c r="R94" s="303"/>
      <c r="S94" s="303"/>
      <c r="T94" s="303"/>
      <c r="U94" s="303"/>
      <c r="V94" s="303"/>
      <c r="W94" s="303"/>
      <c r="X94" s="303"/>
      <c r="Y94" s="303"/>
      <c r="Z94" s="303"/>
      <c r="AA94" s="303"/>
      <c r="AB94" s="468"/>
      <c r="AC94" s="468"/>
      <c r="AD94" s="468"/>
      <c r="AE94" s="468"/>
      <c r="AF94" s="467"/>
      <c r="AG94" s="303"/>
      <c r="AH94" s="303"/>
      <c r="AI94" s="303"/>
      <c r="AJ94" s="467"/>
      <c r="AK94" s="467"/>
      <c r="AL94" s="467"/>
      <c r="AM94" s="467"/>
      <c r="AN94" s="467"/>
      <c r="AO94" s="467"/>
      <c r="AP94" s="467"/>
      <c r="AQ94" s="467"/>
      <c r="AR94" s="467"/>
      <c r="AS94" s="467"/>
      <c r="AT94" s="467"/>
      <c r="AU94" s="467"/>
      <c r="AV94" s="467"/>
      <c r="AW94" s="467"/>
      <c r="AX94" s="467"/>
      <c r="AY94" s="467"/>
      <c r="AZ94" s="467"/>
      <c r="BA94" s="305"/>
      <c r="BB94" s="305"/>
      <c r="BC94" s="305"/>
      <c r="BD94" s="305"/>
      <c r="BE94" s="305"/>
      <c r="BF94" s="305"/>
      <c r="BG94" s="305"/>
      <c r="BH94" s="305"/>
      <c r="BI94" s="305"/>
    </row>
    <row r="95" spans="2:61" s="237" customFormat="1" x14ac:dyDescent="0.3">
      <c r="B95" s="230">
        <v>2021</v>
      </c>
      <c r="C95" s="230"/>
      <c r="D95" s="230"/>
      <c r="E95" s="230"/>
      <c r="F95" s="230"/>
      <c r="G95" s="301" t="s">
        <v>179</v>
      </c>
      <c r="H95" s="301"/>
      <c r="I95" s="440" t="s">
        <v>182</v>
      </c>
      <c r="J95" s="302" t="s">
        <v>51</v>
      </c>
      <c r="K95" s="303" t="s">
        <v>207</v>
      </c>
      <c r="L95" s="468" t="s">
        <v>48</v>
      </c>
      <c r="M95" s="303" t="s">
        <v>49</v>
      </c>
      <c r="N95" s="667" t="s">
        <v>214</v>
      </c>
      <c r="O95" s="303"/>
      <c r="P95" s="303"/>
      <c r="Q95" s="303"/>
      <c r="R95" s="303"/>
      <c r="S95" s="303"/>
      <c r="T95" s="303"/>
      <c r="U95" s="303"/>
      <c r="V95" s="303"/>
      <c r="W95" s="303"/>
      <c r="X95" s="303"/>
      <c r="Y95" s="303"/>
      <c r="Z95" s="303"/>
      <c r="AA95" s="303"/>
      <c r="AB95" s="468"/>
      <c r="AC95" s="468"/>
      <c r="AD95" s="468"/>
      <c r="AE95" s="468"/>
      <c r="AF95" s="467"/>
      <c r="AG95" s="303"/>
      <c r="AH95" s="303"/>
      <c r="AI95" s="303"/>
      <c r="AJ95" s="467"/>
      <c r="AK95" s="467"/>
      <c r="AL95" s="467"/>
      <c r="AM95" s="467"/>
      <c r="AN95" s="467"/>
      <c r="AO95" s="467"/>
      <c r="AP95" s="467"/>
      <c r="AQ95" s="467"/>
      <c r="AR95" s="467"/>
      <c r="AS95" s="467"/>
      <c r="AT95" s="467"/>
      <c r="AU95" s="467"/>
      <c r="AV95" s="467"/>
      <c r="AW95" s="467"/>
      <c r="AX95" s="467"/>
      <c r="AY95" s="467"/>
      <c r="AZ95" s="467"/>
      <c r="BA95" s="305"/>
      <c r="BB95" s="305"/>
      <c r="BC95" s="305"/>
      <c r="BD95" s="305"/>
      <c r="BE95" s="305"/>
      <c r="BF95" s="305"/>
      <c r="BG95" s="305"/>
      <c r="BH95" s="305"/>
      <c r="BI95" s="305"/>
    </row>
    <row r="96" spans="2:61" s="237" customFormat="1" x14ac:dyDescent="0.3">
      <c r="B96" s="230">
        <v>2022</v>
      </c>
      <c r="C96" s="230"/>
      <c r="D96" s="230"/>
      <c r="E96" s="230"/>
      <c r="F96" s="230"/>
      <c r="G96" s="301" t="s">
        <v>183</v>
      </c>
      <c r="H96" s="301"/>
      <c r="I96" s="440" t="s">
        <v>192</v>
      </c>
      <c r="J96" s="302" t="s">
        <v>52</v>
      </c>
      <c r="K96" s="303" t="s">
        <v>208</v>
      </c>
      <c r="L96" s="468" t="s">
        <v>48</v>
      </c>
      <c r="M96" s="303" t="s">
        <v>54</v>
      </c>
      <c r="N96" s="666" t="s">
        <v>215</v>
      </c>
      <c r="O96" s="303"/>
      <c r="P96" s="303"/>
      <c r="Q96" s="303"/>
      <c r="R96" s="303"/>
      <c r="S96" s="303"/>
      <c r="T96" s="303"/>
      <c r="U96" s="303"/>
      <c r="V96" s="303"/>
      <c r="W96" s="303"/>
      <c r="X96" s="303"/>
      <c r="Y96" s="303"/>
      <c r="Z96" s="303"/>
      <c r="AA96" s="303"/>
      <c r="AB96" s="468"/>
      <c r="AC96" s="468"/>
      <c r="AD96" s="468"/>
      <c r="AE96" s="468"/>
      <c r="AF96" s="467"/>
      <c r="AG96" s="303"/>
      <c r="AH96" s="303"/>
      <c r="AI96" s="303"/>
      <c r="AJ96" s="467"/>
      <c r="AK96" s="467"/>
      <c r="AL96" s="467"/>
      <c r="AM96" s="467"/>
      <c r="AN96" s="467"/>
      <c r="AO96" s="467"/>
      <c r="AP96" s="467"/>
      <c r="AQ96" s="467"/>
      <c r="AR96" s="467"/>
      <c r="AS96" s="467"/>
      <c r="AT96" s="467"/>
      <c r="AU96" s="467"/>
      <c r="AV96" s="467"/>
      <c r="AW96" s="467"/>
      <c r="AX96" s="467"/>
      <c r="AY96" s="467"/>
      <c r="AZ96" s="467"/>
      <c r="BA96" s="305"/>
      <c r="BB96" s="305"/>
      <c r="BC96" s="305"/>
      <c r="BD96" s="305"/>
      <c r="BE96" s="305"/>
      <c r="BF96" s="305"/>
      <c r="BG96" s="305"/>
      <c r="BH96" s="305"/>
      <c r="BI96" s="305"/>
    </row>
    <row r="97" spans="2:61" s="237" customFormat="1" x14ac:dyDescent="0.3">
      <c r="B97" s="230">
        <v>2023</v>
      </c>
      <c r="C97" s="230"/>
      <c r="D97" s="230"/>
      <c r="E97" s="230"/>
      <c r="F97" s="230"/>
      <c r="G97" s="301" t="s">
        <v>184</v>
      </c>
      <c r="H97" s="301"/>
      <c r="I97" s="440" t="s">
        <v>193</v>
      </c>
      <c r="J97" s="302" t="s">
        <v>55</v>
      </c>
      <c r="K97" s="303" t="s">
        <v>209</v>
      </c>
      <c r="L97" s="468" t="s">
        <v>48</v>
      </c>
      <c r="M97" s="303" t="s">
        <v>54</v>
      </c>
      <c r="N97" s="666" t="s">
        <v>216</v>
      </c>
      <c r="O97" s="303"/>
      <c r="P97" s="303"/>
      <c r="Q97" s="303"/>
      <c r="R97" s="303"/>
      <c r="S97" s="303"/>
      <c r="T97" s="303"/>
      <c r="U97" s="303"/>
      <c r="V97" s="303"/>
      <c r="W97" s="303"/>
      <c r="X97" s="303"/>
      <c r="Y97" s="303"/>
      <c r="Z97" s="303"/>
      <c r="AA97" s="303"/>
      <c r="AB97" s="468"/>
      <c r="AC97" s="468"/>
      <c r="AD97" s="468"/>
      <c r="AE97" s="468"/>
      <c r="AF97" s="467"/>
      <c r="AG97" s="303"/>
      <c r="AH97" s="303"/>
      <c r="AI97" s="303"/>
      <c r="AJ97" s="467"/>
      <c r="AK97" s="467"/>
      <c r="AL97" s="467"/>
      <c r="AM97" s="467"/>
      <c r="AN97" s="467"/>
      <c r="AO97" s="467"/>
      <c r="AP97" s="467"/>
      <c r="AQ97" s="467"/>
      <c r="AR97" s="467"/>
      <c r="AS97" s="467"/>
      <c r="AT97" s="467"/>
      <c r="AU97" s="467"/>
      <c r="AV97" s="467"/>
      <c r="AW97" s="467"/>
      <c r="AX97" s="467"/>
      <c r="AY97" s="467"/>
      <c r="AZ97" s="467"/>
      <c r="BA97" s="305"/>
      <c r="BB97" s="305"/>
      <c r="BC97" s="305"/>
      <c r="BD97" s="305"/>
      <c r="BE97" s="305"/>
      <c r="BF97" s="305"/>
      <c r="BG97" s="305"/>
      <c r="BH97" s="305"/>
      <c r="BI97" s="305"/>
    </row>
    <row r="98" spans="2:61" x14ac:dyDescent="0.3">
      <c r="B98" s="230">
        <v>2024</v>
      </c>
      <c r="G98" s="301" t="s">
        <v>185</v>
      </c>
      <c r="H98" s="301"/>
      <c r="I98" s="440" t="s">
        <v>194</v>
      </c>
      <c r="J98" s="302" t="s">
        <v>56</v>
      </c>
      <c r="K98" s="303" t="s">
        <v>209</v>
      </c>
      <c r="L98" s="468" t="s">
        <v>48</v>
      </c>
      <c r="M98" s="303" t="s">
        <v>54</v>
      </c>
      <c r="N98" s="666" t="s">
        <v>226</v>
      </c>
      <c r="O98" s="303"/>
      <c r="P98" s="303"/>
      <c r="Q98" s="303"/>
      <c r="R98" s="303"/>
      <c r="S98" s="303"/>
      <c r="T98" s="303"/>
      <c r="U98" s="303"/>
      <c r="V98" s="303"/>
      <c r="W98" s="303"/>
      <c r="X98" s="303"/>
      <c r="Y98" s="303"/>
      <c r="Z98" s="303"/>
      <c r="AA98" s="303"/>
      <c r="AB98" s="468"/>
      <c r="AC98" s="468"/>
      <c r="AD98" s="468"/>
      <c r="AE98" s="468"/>
      <c r="AF98" s="468"/>
      <c r="AG98" s="303"/>
      <c r="AH98" s="303"/>
      <c r="AI98" s="303"/>
      <c r="AJ98" s="468"/>
      <c r="AK98" s="468"/>
      <c r="AL98" s="468"/>
      <c r="AM98" s="468"/>
      <c r="AN98" s="468"/>
      <c r="AO98" s="468"/>
      <c r="AP98" s="468"/>
      <c r="AQ98" s="468"/>
      <c r="AR98" s="468"/>
      <c r="AS98" s="468"/>
      <c r="AT98" s="468"/>
      <c r="AU98" s="468"/>
      <c r="AV98" s="468"/>
      <c r="AW98" s="468"/>
      <c r="AX98" s="468"/>
      <c r="AY98" s="468"/>
      <c r="AZ98" s="468"/>
      <c r="BA98" s="303"/>
      <c r="BB98" s="303"/>
      <c r="BC98" s="303"/>
      <c r="BD98" s="303"/>
      <c r="BE98" s="303"/>
      <c r="BF98" s="303"/>
      <c r="BG98" s="303"/>
      <c r="BH98" s="303"/>
      <c r="BI98" s="303"/>
    </row>
    <row r="99" spans="2:61" x14ac:dyDescent="0.3">
      <c r="B99" s="230">
        <v>2025</v>
      </c>
      <c r="G99" s="301" t="s">
        <v>186</v>
      </c>
      <c r="H99" s="301"/>
      <c r="I99" s="440" t="s">
        <v>195</v>
      </c>
      <c r="J99" s="302" t="s">
        <v>57</v>
      </c>
      <c r="K99" s="303" t="s">
        <v>209</v>
      </c>
      <c r="L99" s="468" t="s">
        <v>48</v>
      </c>
      <c r="M99" s="303" t="s">
        <v>54</v>
      </c>
      <c r="N99" s="666" t="s">
        <v>217</v>
      </c>
      <c r="O99" s="303"/>
      <c r="P99" s="303"/>
      <c r="Q99" s="303"/>
      <c r="R99" s="303"/>
      <c r="S99" s="303"/>
      <c r="T99" s="303"/>
      <c r="U99" s="303"/>
      <c r="V99" s="303"/>
      <c r="W99" s="303"/>
      <c r="X99" s="303"/>
      <c r="Y99" s="303"/>
      <c r="Z99" s="303"/>
      <c r="AA99" s="303"/>
      <c r="AB99" s="468"/>
      <c r="AC99" s="468"/>
      <c r="AD99" s="468"/>
      <c r="AE99" s="468"/>
      <c r="AF99" s="468"/>
      <c r="AG99" s="303"/>
      <c r="AH99" s="303"/>
      <c r="AI99" s="303"/>
      <c r="AJ99" s="468"/>
      <c r="AK99" s="468"/>
      <c r="AL99" s="468"/>
      <c r="AM99" s="468"/>
      <c r="AN99" s="468"/>
      <c r="AO99" s="468"/>
      <c r="AP99" s="468"/>
      <c r="AQ99" s="468"/>
      <c r="AR99" s="468"/>
      <c r="AS99" s="468"/>
      <c r="AT99" s="468"/>
      <c r="AU99" s="468"/>
      <c r="AV99" s="468"/>
      <c r="AW99" s="468"/>
      <c r="AX99" s="468"/>
      <c r="AY99" s="468"/>
      <c r="AZ99" s="468"/>
      <c r="BA99" s="303"/>
      <c r="BB99" s="303"/>
      <c r="BC99" s="303"/>
      <c r="BD99" s="303"/>
      <c r="BE99" s="303"/>
      <c r="BF99" s="303"/>
      <c r="BG99" s="303"/>
      <c r="BH99" s="303"/>
      <c r="BI99" s="303"/>
    </row>
    <row r="100" spans="2:61" x14ac:dyDescent="0.3">
      <c r="B100" s="230">
        <v>2026</v>
      </c>
      <c r="G100" s="301" t="s">
        <v>187</v>
      </c>
      <c r="H100" s="301"/>
      <c r="I100" s="440" t="s">
        <v>196</v>
      </c>
      <c r="J100" s="302" t="s">
        <v>58</v>
      </c>
      <c r="K100" s="303" t="s">
        <v>208</v>
      </c>
      <c r="L100" s="468" t="s">
        <v>48</v>
      </c>
      <c r="M100" s="303" t="s">
        <v>54</v>
      </c>
      <c r="N100" s="666" t="s">
        <v>218</v>
      </c>
      <c r="O100" s="303"/>
      <c r="P100" s="303"/>
      <c r="Q100" s="303"/>
      <c r="R100" s="303"/>
      <c r="S100" s="303"/>
      <c r="T100" s="303"/>
      <c r="U100" s="303"/>
      <c r="V100" s="303"/>
      <c r="W100" s="303"/>
      <c r="X100" s="303"/>
      <c r="Y100" s="303"/>
      <c r="Z100" s="303"/>
      <c r="AA100" s="303"/>
      <c r="AB100" s="468"/>
      <c r="AC100" s="468"/>
      <c r="AD100" s="468"/>
      <c r="AE100" s="468"/>
      <c r="AF100" s="468"/>
      <c r="AG100" s="303"/>
      <c r="AH100" s="303"/>
      <c r="AI100" s="303"/>
      <c r="AJ100" s="468"/>
      <c r="AK100" s="468"/>
      <c r="AL100" s="468"/>
      <c r="AM100" s="468"/>
      <c r="AN100" s="468"/>
      <c r="AO100" s="468"/>
      <c r="AP100" s="468"/>
      <c r="AQ100" s="468"/>
      <c r="AR100" s="468"/>
      <c r="AS100" s="468"/>
      <c r="AT100" s="468"/>
      <c r="AU100" s="468"/>
      <c r="AV100" s="468"/>
      <c r="AW100" s="468"/>
      <c r="AX100" s="468"/>
      <c r="AY100" s="468"/>
      <c r="AZ100" s="468"/>
      <c r="BA100" s="303"/>
      <c r="BB100" s="303"/>
      <c r="BC100" s="303"/>
      <c r="BD100" s="303"/>
      <c r="BE100" s="303"/>
      <c r="BF100" s="303"/>
      <c r="BG100" s="303"/>
      <c r="BH100" s="303"/>
      <c r="BI100" s="303"/>
    </row>
    <row r="101" spans="2:61" x14ac:dyDescent="0.3">
      <c r="B101" s="230">
        <v>2027</v>
      </c>
      <c r="G101" s="301" t="s">
        <v>188</v>
      </c>
      <c r="H101" s="301"/>
      <c r="I101" s="440" t="s">
        <v>197</v>
      </c>
      <c r="J101" s="302" t="s">
        <v>60</v>
      </c>
      <c r="K101" s="303" t="s">
        <v>207</v>
      </c>
      <c r="L101" s="468" t="s">
        <v>48</v>
      </c>
      <c r="M101" s="301" t="s">
        <v>204</v>
      </c>
      <c r="N101" s="666" t="s">
        <v>219</v>
      </c>
      <c r="O101" s="303"/>
      <c r="P101" s="303"/>
      <c r="Q101" s="303"/>
      <c r="R101" s="303"/>
      <c r="S101" s="303"/>
      <c r="T101" s="303"/>
      <c r="U101" s="303"/>
      <c r="V101" s="303"/>
      <c r="W101" s="303"/>
      <c r="X101" s="303"/>
      <c r="Y101" s="303"/>
      <c r="Z101" s="303"/>
      <c r="AA101" s="303"/>
      <c r="AB101" s="468"/>
      <c r="AC101" s="468"/>
      <c r="AD101" s="468"/>
      <c r="AE101" s="468"/>
      <c r="AF101" s="468"/>
      <c r="AG101" s="303"/>
      <c r="AH101" s="303"/>
      <c r="AI101" s="303"/>
      <c r="AJ101" s="468"/>
      <c r="AK101" s="468"/>
      <c r="AL101" s="468"/>
      <c r="AM101" s="468"/>
      <c r="AN101" s="468"/>
      <c r="AO101" s="468"/>
      <c r="AP101" s="468"/>
      <c r="AQ101" s="468"/>
      <c r="AR101" s="468"/>
      <c r="AS101" s="468"/>
      <c r="AT101" s="468"/>
      <c r="AU101" s="468"/>
      <c r="AV101" s="468"/>
      <c r="AW101" s="468"/>
      <c r="AX101" s="468"/>
      <c r="AY101" s="468"/>
      <c r="AZ101" s="468"/>
      <c r="BA101" s="303"/>
      <c r="BB101" s="303"/>
      <c r="BC101" s="303"/>
      <c r="BD101" s="303"/>
      <c r="BE101" s="303"/>
      <c r="BF101" s="303"/>
      <c r="BG101" s="303"/>
      <c r="BH101" s="303"/>
      <c r="BI101" s="303"/>
    </row>
    <row r="102" spans="2:61" x14ac:dyDescent="0.3">
      <c r="B102" s="230">
        <v>2028</v>
      </c>
      <c r="G102" s="301" t="s">
        <v>59</v>
      </c>
      <c r="H102" s="301"/>
      <c r="I102" s="440" t="s">
        <v>198</v>
      </c>
      <c r="J102" s="302" t="s">
        <v>61</v>
      </c>
      <c r="K102" s="303" t="s">
        <v>62</v>
      </c>
      <c r="L102" s="468" t="s">
        <v>48</v>
      </c>
      <c r="M102" s="301" t="s">
        <v>204</v>
      </c>
      <c r="N102" s="666" t="s">
        <v>220</v>
      </c>
      <c r="O102" s="303"/>
      <c r="P102" s="303"/>
      <c r="Q102" s="303"/>
      <c r="R102" s="303"/>
      <c r="S102" s="303"/>
      <c r="T102" s="303"/>
      <c r="U102" s="303"/>
      <c r="V102" s="303"/>
      <c r="W102" s="303"/>
      <c r="X102" s="303"/>
      <c r="Y102" s="303"/>
      <c r="Z102" s="303"/>
      <c r="AA102" s="303"/>
      <c r="AB102" s="468"/>
      <c r="AC102" s="468"/>
      <c r="AD102" s="468"/>
      <c r="AE102" s="468"/>
      <c r="AF102" s="468"/>
      <c r="AG102" s="303"/>
      <c r="AH102" s="303"/>
      <c r="AI102" s="303"/>
      <c r="AJ102" s="468"/>
      <c r="AK102" s="468"/>
      <c r="AL102" s="468"/>
      <c r="AM102" s="468"/>
      <c r="AN102" s="468"/>
      <c r="AO102" s="468"/>
      <c r="AP102" s="468"/>
      <c r="AQ102" s="468"/>
      <c r="AR102" s="468"/>
      <c r="AS102" s="468"/>
      <c r="AT102" s="468"/>
      <c r="AU102" s="468"/>
      <c r="AV102" s="468"/>
      <c r="AW102" s="468"/>
      <c r="AX102" s="468"/>
      <c r="AY102" s="468"/>
      <c r="AZ102" s="468"/>
      <c r="BA102" s="303"/>
      <c r="BB102" s="303"/>
      <c r="BC102" s="303"/>
      <c r="BD102" s="303"/>
      <c r="BE102" s="303"/>
      <c r="BF102" s="303"/>
      <c r="BG102" s="303"/>
      <c r="BH102" s="303"/>
      <c r="BI102" s="303"/>
    </row>
    <row r="103" spans="2:61" x14ac:dyDescent="0.3">
      <c r="G103" s="301" t="s">
        <v>189</v>
      </c>
      <c r="H103" s="301"/>
      <c r="I103" s="440" t="s">
        <v>199</v>
      </c>
      <c r="J103" s="302" t="s">
        <v>63</v>
      </c>
      <c r="K103" s="303" t="s">
        <v>207</v>
      </c>
      <c r="L103" s="468" t="s">
        <v>48</v>
      </c>
      <c r="M103" s="301" t="s">
        <v>204</v>
      </c>
      <c r="N103" s="666" t="s">
        <v>221</v>
      </c>
      <c r="O103" s="303"/>
      <c r="P103" s="303"/>
      <c r="Q103" s="303"/>
      <c r="R103" s="303"/>
      <c r="S103" s="303"/>
      <c r="T103" s="303"/>
      <c r="U103" s="303"/>
      <c r="V103" s="303"/>
      <c r="W103" s="303"/>
      <c r="X103" s="303"/>
      <c r="Y103" s="303"/>
      <c r="Z103" s="303"/>
      <c r="AA103" s="303"/>
      <c r="AB103" s="468"/>
      <c r="AC103" s="468"/>
      <c r="AD103" s="468"/>
      <c r="AE103" s="468"/>
      <c r="AF103" s="468"/>
      <c r="AG103" s="303"/>
      <c r="AH103" s="303"/>
      <c r="AI103" s="303"/>
      <c r="AJ103" s="468"/>
      <c r="AK103" s="468"/>
      <c r="AL103" s="468"/>
      <c r="AM103" s="468"/>
      <c r="AN103" s="468"/>
      <c r="AO103" s="468"/>
      <c r="AP103" s="468"/>
      <c r="AQ103" s="468"/>
      <c r="AR103" s="468"/>
      <c r="AS103" s="468"/>
      <c r="AT103" s="468"/>
      <c r="AU103" s="468"/>
      <c r="AV103" s="468"/>
      <c r="AW103" s="468"/>
      <c r="AX103" s="468"/>
      <c r="AY103" s="468"/>
      <c r="AZ103" s="468"/>
      <c r="BA103" s="303"/>
      <c r="BB103" s="303"/>
      <c r="BC103" s="303"/>
      <c r="BD103" s="303"/>
      <c r="BE103" s="303"/>
      <c r="BF103" s="303"/>
      <c r="BG103" s="303"/>
      <c r="BH103" s="303"/>
      <c r="BI103" s="303"/>
    </row>
    <row r="104" spans="2:61" x14ac:dyDescent="0.3">
      <c r="G104" s="301" t="s">
        <v>190</v>
      </c>
      <c r="H104" s="301"/>
      <c r="I104" s="440" t="s">
        <v>200</v>
      </c>
      <c r="J104" s="302" t="s">
        <v>64</v>
      </c>
      <c r="K104" s="303" t="s">
        <v>207</v>
      </c>
      <c r="L104" s="468" t="s">
        <v>48</v>
      </c>
      <c r="M104" s="301" t="s">
        <v>204</v>
      </c>
      <c r="N104" s="666" t="s">
        <v>222</v>
      </c>
      <c r="O104" s="303"/>
      <c r="P104" s="303"/>
      <c r="Q104" s="303"/>
      <c r="R104" s="303"/>
      <c r="S104" s="303"/>
      <c r="T104" s="303"/>
      <c r="U104" s="303"/>
      <c r="V104" s="303"/>
      <c r="W104" s="303"/>
      <c r="X104" s="303"/>
      <c r="Y104" s="303"/>
      <c r="Z104" s="303"/>
      <c r="AA104" s="303"/>
      <c r="AB104" s="468"/>
      <c r="AC104" s="468"/>
      <c r="AD104" s="468"/>
      <c r="AE104" s="468"/>
      <c r="AF104" s="468"/>
      <c r="AG104" s="303"/>
      <c r="AH104" s="303"/>
      <c r="AI104" s="303"/>
      <c r="AJ104" s="468"/>
      <c r="AK104" s="468"/>
      <c r="AL104" s="468"/>
      <c r="AM104" s="468"/>
      <c r="AN104" s="468"/>
      <c r="AO104" s="468"/>
      <c r="AP104" s="468"/>
      <c r="AQ104" s="468"/>
      <c r="AR104" s="468"/>
      <c r="AS104" s="468"/>
      <c r="AT104" s="468"/>
      <c r="AU104" s="468"/>
      <c r="AV104" s="468"/>
      <c r="AW104" s="468"/>
      <c r="AX104" s="468"/>
      <c r="AY104" s="468"/>
      <c r="AZ104" s="468"/>
      <c r="BA104" s="303"/>
      <c r="BB104" s="303"/>
      <c r="BC104" s="303"/>
      <c r="BD104" s="303"/>
      <c r="BE104" s="303"/>
      <c r="BF104" s="303"/>
      <c r="BG104" s="303"/>
      <c r="BH104" s="303"/>
      <c r="BI104" s="303"/>
    </row>
    <row r="105" spans="2:61" x14ac:dyDescent="0.3">
      <c r="G105" s="301" t="s">
        <v>191</v>
      </c>
      <c r="H105" s="301"/>
      <c r="I105" s="440" t="s">
        <v>201</v>
      </c>
      <c r="J105" s="302" t="s">
        <v>65</v>
      </c>
      <c r="K105" s="303" t="s">
        <v>207</v>
      </c>
      <c r="L105" s="468" t="s">
        <v>48</v>
      </c>
      <c r="M105" s="301" t="s">
        <v>204</v>
      </c>
      <c r="N105" s="666" t="s">
        <v>223</v>
      </c>
      <c r="O105" s="303"/>
      <c r="P105" s="303"/>
      <c r="Q105" s="303"/>
      <c r="R105" s="303"/>
      <c r="S105" s="303"/>
      <c r="T105" s="303"/>
      <c r="U105" s="303"/>
      <c r="V105" s="303"/>
      <c r="W105" s="303"/>
      <c r="X105" s="303"/>
      <c r="Y105" s="303"/>
      <c r="Z105" s="303"/>
      <c r="AA105" s="303"/>
      <c r="AB105" s="468"/>
      <c r="AC105" s="468"/>
      <c r="AD105" s="468"/>
      <c r="AE105" s="468"/>
      <c r="AF105" s="468"/>
      <c r="AG105" s="303"/>
      <c r="AH105" s="303"/>
      <c r="AI105" s="303"/>
      <c r="AJ105" s="468"/>
      <c r="AK105" s="468"/>
      <c r="AL105" s="468"/>
      <c r="AM105" s="468"/>
      <c r="AN105" s="468"/>
      <c r="AO105" s="468"/>
      <c r="AP105" s="468"/>
      <c r="AQ105" s="468"/>
      <c r="AR105" s="468"/>
      <c r="AS105" s="468"/>
      <c r="AT105" s="468"/>
      <c r="AU105" s="468"/>
      <c r="AV105" s="468"/>
      <c r="AW105" s="468"/>
      <c r="AX105" s="468"/>
      <c r="AY105" s="468"/>
      <c r="AZ105" s="468"/>
      <c r="BA105" s="303"/>
      <c r="BB105" s="303"/>
      <c r="BC105" s="303"/>
      <c r="BD105" s="303"/>
      <c r="BE105" s="303"/>
      <c r="BF105" s="303"/>
      <c r="BG105" s="303"/>
      <c r="BH105" s="303"/>
      <c r="BI105" s="303"/>
    </row>
    <row r="106" spans="2:61" x14ac:dyDescent="0.3">
      <c r="G106" s="301" t="s">
        <v>202</v>
      </c>
      <c r="H106" s="301"/>
      <c r="I106" s="440" t="s">
        <v>203</v>
      </c>
      <c r="J106" s="302" t="s">
        <v>66</v>
      </c>
      <c r="K106" s="303" t="s">
        <v>225</v>
      </c>
      <c r="L106" s="468" t="s">
        <v>48</v>
      </c>
      <c r="M106" s="303" t="s">
        <v>205</v>
      </c>
      <c r="N106" s="666" t="s">
        <v>224</v>
      </c>
      <c r="O106" s="303"/>
      <c r="P106" s="303"/>
      <c r="Q106" s="303"/>
      <c r="R106" s="303"/>
      <c r="S106" s="303"/>
      <c r="T106" s="303"/>
      <c r="U106" s="303"/>
      <c r="V106" s="303"/>
      <c r="W106" s="303"/>
      <c r="X106" s="303"/>
      <c r="Y106" s="303"/>
      <c r="Z106" s="303"/>
      <c r="AA106" s="303"/>
      <c r="AB106" s="468"/>
      <c r="AC106" s="468"/>
      <c r="AD106" s="468"/>
      <c r="AE106" s="468"/>
      <c r="AF106" s="468"/>
      <c r="AG106" s="303"/>
      <c r="AH106" s="303"/>
      <c r="AI106" s="303"/>
      <c r="AJ106" s="468"/>
      <c r="AK106" s="468"/>
      <c r="AL106" s="468"/>
      <c r="AM106" s="468"/>
      <c r="AN106" s="468"/>
      <c r="AO106" s="468"/>
      <c r="AP106" s="468"/>
      <c r="AQ106" s="468"/>
      <c r="AR106" s="468"/>
      <c r="AS106" s="468"/>
      <c r="AT106" s="468"/>
      <c r="AU106" s="468"/>
      <c r="AV106" s="468"/>
      <c r="AW106" s="468"/>
      <c r="AX106" s="468"/>
      <c r="AY106" s="468"/>
      <c r="AZ106" s="468"/>
      <c r="BA106" s="303"/>
      <c r="BB106" s="303"/>
      <c r="BC106" s="303"/>
      <c r="BD106" s="303"/>
      <c r="BE106" s="303"/>
      <c r="BF106" s="303"/>
      <c r="BG106" s="303"/>
      <c r="BH106" s="303"/>
      <c r="BI106" s="303"/>
    </row>
    <row r="107" spans="2:61" x14ac:dyDescent="0.3">
      <c r="G107" s="301" t="s">
        <v>67</v>
      </c>
      <c r="H107" s="301"/>
      <c r="I107" s="440">
        <v>14</v>
      </c>
      <c r="J107" s="302" t="s">
        <v>68</v>
      </c>
      <c r="K107" s="303" t="s">
        <v>69</v>
      </c>
      <c r="L107" s="468" t="s">
        <v>70</v>
      </c>
      <c r="M107" s="303" t="s">
        <v>54</v>
      </c>
      <c r="N107" s="666" t="s">
        <v>71</v>
      </c>
      <c r="O107" s="303"/>
      <c r="P107" s="303"/>
      <c r="Q107" s="303"/>
      <c r="R107" s="303"/>
      <c r="S107" s="303"/>
      <c r="T107" s="303"/>
      <c r="U107" s="303"/>
      <c r="V107" s="303"/>
      <c r="W107" s="303"/>
      <c r="X107" s="303"/>
      <c r="Y107" s="303"/>
      <c r="Z107" s="303"/>
      <c r="AA107" s="303"/>
      <c r="AB107" s="468"/>
      <c r="AC107" s="468"/>
      <c r="AD107" s="468"/>
      <c r="AE107" s="468"/>
      <c r="AF107" s="468"/>
      <c r="AG107" s="303"/>
      <c r="AH107" s="303"/>
      <c r="AI107" s="303"/>
      <c r="AJ107" s="468"/>
      <c r="AK107" s="468"/>
      <c r="AL107" s="468"/>
      <c r="AM107" s="468"/>
      <c r="AN107" s="468"/>
      <c r="AO107" s="468"/>
      <c r="AP107" s="468"/>
      <c r="AQ107" s="468"/>
      <c r="AR107" s="468"/>
      <c r="AS107" s="468"/>
      <c r="AT107" s="468"/>
      <c r="AU107" s="468"/>
      <c r="AV107" s="468"/>
      <c r="AW107" s="468"/>
      <c r="AX107" s="468"/>
      <c r="AY107" s="468"/>
      <c r="AZ107" s="468"/>
      <c r="BA107" s="303"/>
      <c r="BB107" s="303"/>
      <c r="BC107" s="303"/>
      <c r="BD107" s="303"/>
      <c r="BE107" s="303"/>
      <c r="BF107" s="303"/>
      <c r="BG107" s="303"/>
      <c r="BH107" s="303"/>
      <c r="BI107" s="303"/>
    </row>
    <row r="108" spans="2:61" x14ac:dyDescent="0.3">
      <c r="G108" s="301" t="s">
        <v>72</v>
      </c>
      <c r="H108" s="301"/>
      <c r="I108" s="440">
        <v>15</v>
      </c>
      <c r="J108" s="302" t="s">
        <v>73</v>
      </c>
      <c r="K108" s="303" t="s">
        <v>69</v>
      </c>
      <c r="L108" s="468" t="s">
        <v>70</v>
      </c>
      <c r="M108" s="303" t="s">
        <v>54</v>
      </c>
      <c r="N108" s="666" t="s">
        <v>74</v>
      </c>
      <c r="O108" s="303"/>
      <c r="P108" s="303"/>
      <c r="Q108" s="303"/>
      <c r="R108" s="303"/>
      <c r="S108" s="303"/>
      <c r="T108" s="303"/>
      <c r="U108" s="303"/>
      <c r="V108" s="303"/>
      <c r="W108" s="303"/>
      <c r="X108" s="303"/>
      <c r="Y108" s="303"/>
      <c r="Z108" s="303"/>
      <c r="AA108" s="303"/>
      <c r="AB108" s="468"/>
      <c r="AC108" s="468"/>
      <c r="AD108" s="468"/>
      <c r="AE108" s="468"/>
      <c r="AF108" s="468"/>
      <c r="AG108" s="303"/>
      <c r="AH108" s="303"/>
      <c r="AI108" s="303"/>
      <c r="AJ108" s="468"/>
      <c r="AK108" s="468"/>
      <c r="AL108" s="468"/>
      <c r="AM108" s="468"/>
      <c r="AN108" s="468"/>
      <c r="AO108" s="468"/>
      <c r="AP108" s="468"/>
      <c r="AQ108" s="468"/>
      <c r="AR108" s="468"/>
      <c r="AS108" s="468"/>
      <c r="AT108" s="468"/>
      <c r="AU108" s="468"/>
      <c r="AV108" s="468"/>
      <c r="AW108" s="468"/>
      <c r="AX108" s="468"/>
      <c r="AY108" s="468"/>
      <c r="AZ108" s="468"/>
      <c r="BA108" s="303"/>
      <c r="BB108" s="303"/>
      <c r="BC108" s="303"/>
      <c r="BD108" s="303"/>
      <c r="BE108" s="303"/>
      <c r="BF108" s="303"/>
      <c r="BG108" s="303"/>
      <c r="BH108" s="303"/>
      <c r="BI108" s="303"/>
    </row>
    <row r="109" spans="2:61" x14ac:dyDescent="0.3">
      <c r="G109" s="301" t="s">
        <v>75</v>
      </c>
      <c r="H109" s="301"/>
      <c r="I109" s="440">
        <v>16</v>
      </c>
      <c r="J109" s="302" t="s">
        <v>76</v>
      </c>
      <c r="K109" s="303" t="s">
        <v>69</v>
      </c>
      <c r="L109" s="468" t="s">
        <v>70</v>
      </c>
      <c r="M109" s="303" t="s">
        <v>54</v>
      </c>
      <c r="N109" s="666" t="s">
        <v>77</v>
      </c>
      <c r="O109" s="303"/>
      <c r="P109" s="303"/>
      <c r="Q109" s="303"/>
      <c r="R109" s="303"/>
      <c r="S109" s="303"/>
      <c r="T109" s="303"/>
      <c r="U109" s="303"/>
      <c r="V109" s="303"/>
      <c r="W109" s="303"/>
      <c r="X109" s="303"/>
      <c r="Y109" s="303"/>
      <c r="Z109" s="303"/>
      <c r="AA109" s="303"/>
      <c r="AB109" s="468"/>
      <c r="AC109" s="468"/>
      <c r="AD109" s="468"/>
      <c r="AE109" s="468"/>
      <c r="AF109" s="468"/>
      <c r="AG109" s="303"/>
      <c r="AH109" s="303"/>
      <c r="AI109" s="303"/>
      <c r="AJ109" s="468"/>
      <c r="AK109" s="468"/>
      <c r="AL109" s="468"/>
      <c r="AM109" s="468"/>
      <c r="AN109" s="468"/>
      <c r="AO109" s="468"/>
      <c r="AP109" s="468"/>
      <c r="AQ109" s="468"/>
      <c r="AR109" s="468"/>
      <c r="AS109" s="468"/>
      <c r="AT109" s="468"/>
      <c r="AU109" s="468"/>
      <c r="AV109" s="468"/>
      <c r="AW109" s="468"/>
      <c r="AX109" s="468"/>
      <c r="AY109" s="468"/>
      <c r="AZ109" s="468"/>
      <c r="BA109" s="303"/>
      <c r="BB109" s="303"/>
      <c r="BC109" s="303"/>
      <c r="BD109" s="303"/>
      <c r="BE109" s="303"/>
      <c r="BF109" s="303"/>
      <c r="BG109" s="303"/>
      <c r="BH109" s="303"/>
      <c r="BI109" s="303"/>
    </row>
    <row r="110" spans="2:61" x14ac:dyDescent="0.3">
      <c r="G110" s="301" t="s">
        <v>78</v>
      </c>
      <c r="H110" s="301"/>
      <c r="I110" s="440">
        <v>17</v>
      </c>
      <c r="J110" s="230" t="s">
        <v>79</v>
      </c>
      <c r="K110" s="303" t="s">
        <v>69</v>
      </c>
      <c r="L110" s="468" t="s">
        <v>70</v>
      </c>
      <c r="M110" s="303" t="s">
        <v>54</v>
      </c>
      <c r="N110" s="666" t="s">
        <v>80</v>
      </c>
      <c r="O110" s="303"/>
      <c r="P110" s="303"/>
      <c r="Q110" s="303"/>
      <c r="R110" s="303"/>
      <c r="S110" s="303"/>
      <c r="T110" s="303"/>
      <c r="U110" s="303"/>
      <c r="V110" s="303"/>
      <c r="W110" s="303"/>
      <c r="X110" s="303"/>
      <c r="Y110" s="303"/>
      <c r="Z110" s="303"/>
      <c r="AA110" s="303"/>
      <c r="AB110" s="468"/>
      <c r="AC110" s="468"/>
      <c r="AD110" s="468"/>
      <c r="AE110" s="468"/>
      <c r="AF110" s="468"/>
      <c r="AG110" s="303"/>
      <c r="AH110" s="303"/>
      <c r="AI110" s="303"/>
      <c r="AJ110" s="468"/>
      <c r="AK110" s="468"/>
      <c r="AL110" s="468"/>
      <c r="AM110" s="468"/>
      <c r="AN110" s="468"/>
      <c r="AO110" s="468"/>
      <c r="AP110" s="468"/>
      <c r="AQ110" s="468"/>
      <c r="AR110" s="468"/>
      <c r="AS110" s="468"/>
      <c r="AT110" s="468"/>
      <c r="AU110" s="468"/>
      <c r="AV110" s="468"/>
      <c r="AW110" s="468"/>
      <c r="AX110" s="468"/>
      <c r="AY110" s="468"/>
      <c r="AZ110" s="468"/>
      <c r="BA110" s="303"/>
      <c r="BB110" s="303"/>
      <c r="BC110" s="303"/>
      <c r="BD110" s="303"/>
      <c r="BE110" s="303"/>
      <c r="BF110" s="303"/>
      <c r="BG110" s="303"/>
      <c r="BH110" s="303"/>
      <c r="BI110" s="303"/>
    </row>
    <row r="111" spans="2:61" x14ac:dyDescent="0.3">
      <c r="G111" s="304" t="s">
        <v>81</v>
      </c>
      <c r="H111" s="304"/>
      <c r="J111" s="230" t="s">
        <v>82</v>
      </c>
      <c r="K111" s="303"/>
      <c r="L111" s="468"/>
      <c r="M111" s="303"/>
      <c r="N111" s="666"/>
      <c r="O111" s="303"/>
      <c r="P111" s="303"/>
      <c r="Q111" s="303"/>
      <c r="R111" s="303"/>
      <c r="S111" s="303"/>
      <c r="T111" s="303"/>
      <c r="U111" s="303"/>
      <c r="V111" s="303"/>
      <c r="W111" s="303"/>
      <c r="X111" s="303"/>
      <c r="Y111" s="303"/>
      <c r="Z111" s="303"/>
      <c r="AA111" s="303"/>
      <c r="AB111" s="468"/>
      <c r="AC111" s="468"/>
      <c r="AD111" s="468"/>
      <c r="AE111" s="468"/>
      <c r="AF111" s="468"/>
      <c r="AG111" s="303"/>
      <c r="AH111" s="303"/>
      <c r="AI111" s="303"/>
      <c r="AJ111" s="468"/>
      <c r="AK111" s="468"/>
      <c r="AL111" s="468"/>
      <c r="AM111" s="468"/>
      <c r="AN111" s="468"/>
      <c r="AO111" s="468"/>
      <c r="AP111" s="468"/>
      <c r="AQ111" s="468"/>
      <c r="AR111" s="468"/>
      <c r="AS111" s="468"/>
      <c r="AT111" s="468"/>
      <c r="AU111" s="468"/>
      <c r="AV111" s="468"/>
      <c r="AW111" s="468"/>
      <c r="AX111" s="468"/>
      <c r="AY111" s="468"/>
      <c r="AZ111" s="468"/>
      <c r="BA111" s="303"/>
      <c r="BB111" s="303"/>
      <c r="BC111" s="303"/>
      <c r="BD111" s="303"/>
      <c r="BE111" s="303"/>
      <c r="BF111" s="303"/>
      <c r="BG111" s="303"/>
      <c r="BH111" s="303"/>
      <c r="BI111" s="303"/>
    </row>
    <row r="112" spans="2:61" x14ac:dyDescent="0.3">
      <c r="G112" s="301" t="s">
        <v>3</v>
      </c>
      <c r="H112" s="301"/>
      <c r="I112" s="440">
        <v>18</v>
      </c>
      <c r="J112" s="230" t="s">
        <v>83</v>
      </c>
      <c r="K112" s="303" t="s">
        <v>53</v>
      </c>
      <c r="L112" s="468" t="s">
        <v>84</v>
      </c>
      <c r="M112" s="303" t="s">
        <v>54</v>
      </c>
      <c r="N112" s="666" t="s">
        <v>85</v>
      </c>
      <c r="O112" s="303"/>
      <c r="P112" s="303"/>
      <c r="Q112" s="303"/>
      <c r="R112" s="303"/>
      <c r="S112" s="303"/>
      <c r="T112" s="303"/>
      <c r="U112" s="303"/>
      <c r="V112" s="303"/>
      <c r="W112" s="303"/>
      <c r="X112" s="303"/>
      <c r="Y112" s="303"/>
      <c r="Z112" s="303"/>
      <c r="AA112" s="303"/>
      <c r="AB112" s="468"/>
      <c r="AC112" s="468"/>
      <c r="AD112" s="468"/>
      <c r="AE112" s="468"/>
      <c r="AF112" s="468"/>
      <c r="AG112" s="303"/>
      <c r="AH112" s="303"/>
      <c r="AI112" s="303"/>
      <c r="AJ112" s="468"/>
      <c r="AK112" s="468"/>
      <c r="AL112" s="468"/>
      <c r="AM112" s="468"/>
      <c r="AN112" s="468"/>
      <c r="AO112" s="468"/>
      <c r="AP112" s="468"/>
      <c r="AQ112" s="468"/>
      <c r="AR112" s="468"/>
      <c r="AS112" s="468"/>
      <c r="AT112" s="468"/>
      <c r="AU112" s="468"/>
      <c r="AV112" s="468"/>
      <c r="AW112" s="468"/>
      <c r="AX112" s="468"/>
      <c r="AY112" s="468"/>
      <c r="AZ112" s="468"/>
      <c r="BA112" s="303"/>
      <c r="BB112" s="303"/>
      <c r="BC112" s="303"/>
      <c r="BD112" s="303"/>
      <c r="BE112" s="303"/>
      <c r="BF112" s="303"/>
      <c r="BG112" s="303"/>
      <c r="BH112" s="303"/>
      <c r="BI112" s="303"/>
    </row>
    <row r="113" spans="7:61" x14ac:dyDescent="0.3">
      <c r="G113" s="301" t="s">
        <v>86</v>
      </c>
      <c r="H113" s="301"/>
      <c r="I113" s="440">
        <v>19</v>
      </c>
      <c r="J113" s="230" t="s">
        <v>87</v>
      </c>
      <c r="K113" s="303" t="s">
        <v>53</v>
      </c>
      <c r="L113" s="468" t="s">
        <v>84</v>
      </c>
      <c r="M113" s="303" t="s">
        <v>54</v>
      </c>
      <c r="N113" s="666" t="s">
        <v>88</v>
      </c>
      <c r="O113" s="303"/>
      <c r="P113" s="303"/>
      <c r="Q113" s="303"/>
      <c r="R113" s="303"/>
      <c r="S113" s="303"/>
      <c r="T113" s="303"/>
      <c r="U113" s="303"/>
      <c r="V113" s="303"/>
      <c r="W113" s="303"/>
      <c r="X113" s="303"/>
      <c r="Y113" s="303"/>
      <c r="Z113" s="303"/>
      <c r="AA113" s="303"/>
      <c r="AB113" s="468"/>
      <c r="AC113" s="468"/>
      <c r="AD113" s="468"/>
      <c r="AE113" s="468"/>
      <c r="AF113" s="468"/>
      <c r="AG113" s="303"/>
      <c r="AH113" s="303"/>
      <c r="AI113" s="303"/>
      <c r="AJ113" s="468"/>
      <c r="AK113" s="468"/>
      <c r="AL113" s="468"/>
      <c r="AM113" s="468"/>
      <c r="AN113" s="468"/>
      <c r="AO113" s="468"/>
      <c r="AP113" s="468"/>
      <c r="AQ113" s="468"/>
      <c r="AR113" s="468"/>
      <c r="AS113" s="468"/>
      <c r="AT113" s="468"/>
      <c r="AU113" s="468"/>
      <c r="AV113" s="468"/>
      <c r="AW113" s="468"/>
      <c r="AX113" s="468"/>
      <c r="AY113" s="468"/>
      <c r="AZ113" s="468"/>
      <c r="BA113" s="303"/>
      <c r="BB113" s="303"/>
      <c r="BC113" s="303"/>
      <c r="BD113" s="303"/>
      <c r="BE113" s="303"/>
      <c r="BF113" s="303"/>
      <c r="BG113" s="303"/>
      <c r="BH113" s="303"/>
      <c r="BI113" s="303"/>
    </row>
    <row r="114" spans="7:61" ht="12.75" customHeight="1" x14ac:dyDescent="0.3">
      <c r="G114" s="304" t="s">
        <v>89</v>
      </c>
      <c r="H114" s="304"/>
      <c r="J114" s="230" t="s">
        <v>90</v>
      </c>
      <c r="K114" s="303"/>
      <c r="L114" s="468"/>
      <c r="M114" s="303"/>
      <c r="N114" s="666"/>
      <c r="O114" s="303"/>
      <c r="P114" s="303"/>
      <c r="Q114" s="303"/>
      <c r="R114" s="303"/>
      <c r="S114" s="303"/>
      <c r="T114" s="303"/>
      <c r="U114" s="303"/>
      <c r="V114" s="303"/>
      <c r="W114" s="303"/>
      <c r="X114" s="303"/>
      <c r="Y114" s="303"/>
      <c r="Z114" s="303"/>
      <c r="AA114" s="303"/>
      <c r="AB114" s="468"/>
      <c r="AC114" s="468"/>
      <c r="AD114" s="468"/>
      <c r="AE114" s="468"/>
      <c r="AF114" s="468"/>
      <c r="AG114" s="303"/>
      <c r="AH114" s="303"/>
      <c r="AI114" s="303"/>
      <c r="AJ114" s="468"/>
      <c r="AK114" s="468"/>
      <c r="AL114" s="468"/>
      <c r="AM114" s="468"/>
      <c r="AN114" s="468"/>
      <c r="AO114" s="468"/>
      <c r="AP114" s="468"/>
      <c r="AQ114" s="468"/>
      <c r="AR114" s="468"/>
      <c r="AS114" s="468"/>
      <c r="AT114" s="468"/>
      <c r="AU114" s="468"/>
      <c r="AV114" s="468"/>
      <c r="AW114" s="468"/>
      <c r="AX114" s="468"/>
      <c r="AY114" s="468"/>
      <c r="AZ114" s="468"/>
      <c r="BA114" s="303"/>
      <c r="BB114" s="303"/>
      <c r="BC114" s="303"/>
      <c r="BD114" s="303"/>
      <c r="BE114" s="303"/>
      <c r="BF114" s="303"/>
      <c r="BG114" s="303"/>
      <c r="BH114" s="303"/>
      <c r="BI114" s="303"/>
    </row>
    <row r="115" spans="7:61" x14ac:dyDescent="0.3">
      <c r="G115" s="301" t="s">
        <v>91</v>
      </c>
      <c r="H115" s="301"/>
      <c r="I115" s="440">
        <v>20</v>
      </c>
      <c r="J115" s="230" t="s">
        <v>92</v>
      </c>
      <c r="K115" s="303" t="s">
        <v>93</v>
      </c>
      <c r="L115" s="468" t="s">
        <v>94</v>
      </c>
      <c r="M115" s="303" t="s">
        <v>54</v>
      </c>
      <c r="N115" s="666" t="s">
        <v>95</v>
      </c>
      <c r="O115" s="303"/>
      <c r="P115" s="303"/>
      <c r="Q115" s="303"/>
      <c r="R115" s="303"/>
      <c r="S115" s="303"/>
      <c r="T115" s="303"/>
      <c r="U115" s="303"/>
      <c r="V115" s="303"/>
      <c r="W115" s="303"/>
      <c r="X115" s="303"/>
      <c r="Y115" s="303"/>
      <c r="Z115" s="303"/>
      <c r="AA115" s="303"/>
      <c r="AB115" s="468"/>
      <c r="AC115" s="468"/>
      <c r="AD115" s="468"/>
      <c r="AE115" s="468"/>
      <c r="AF115" s="468"/>
      <c r="AG115" s="303"/>
      <c r="AH115" s="303"/>
      <c r="AI115" s="303"/>
      <c r="AJ115" s="468"/>
      <c r="AK115" s="468"/>
      <c r="AL115" s="468"/>
      <c r="AM115" s="468"/>
      <c r="AN115" s="468"/>
      <c r="AO115" s="468"/>
      <c r="AP115" s="468"/>
      <c r="AQ115" s="468"/>
      <c r="AR115" s="468"/>
      <c r="AS115" s="468"/>
      <c r="AT115" s="468"/>
      <c r="AU115" s="468"/>
      <c r="AV115" s="468"/>
      <c r="AW115" s="468"/>
      <c r="AX115" s="468"/>
      <c r="AY115" s="468"/>
      <c r="AZ115" s="468"/>
      <c r="BA115" s="303"/>
      <c r="BB115" s="303"/>
      <c r="BC115" s="303"/>
      <c r="BD115" s="303"/>
      <c r="BE115" s="303"/>
      <c r="BF115" s="303"/>
      <c r="BG115" s="303"/>
      <c r="BH115" s="303"/>
      <c r="BI115" s="303"/>
    </row>
    <row r="116" spans="7:61" x14ac:dyDescent="0.3">
      <c r="G116" s="301" t="s">
        <v>96</v>
      </c>
      <c r="H116" s="301"/>
      <c r="I116" s="440">
        <v>21</v>
      </c>
      <c r="J116" s="230" t="s">
        <v>97</v>
      </c>
      <c r="K116" s="303" t="s">
        <v>93</v>
      </c>
      <c r="L116" s="468" t="s">
        <v>94</v>
      </c>
      <c r="M116" s="303" t="s">
        <v>54</v>
      </c>
      <c r="N116" s="666" t="s">
        <v>98</v>
      </c>
      <c r="O116" s="303"/>
      <c r="P116" s="303"/>
      <c r="Q116" s="303"/>
      <c r="R116" s="303"/>
      <c r="S116" s="303"/>
      <c r="T116" s="303"/>
      <c r="U116" s="303"/>
      <c r="V116" s="303"/>
      <c r="W116" s="303"/>
      <c r="X116" s="303"/>
      <c r="Y116" s="303"/>
      <c r="Z116" s="303"/>
      <c r="AA116" s="303"/>
      <c r="AB116" s="468"/>
      <c r="AC116" s="468"/>
      <c r="AD116" s="468"/>
      <c r="AE116" s="468"/>
      <c r="AF116" s="468"/>
      <c r="AG116" s="303"/>
      <c r="AH116" s="303"/>
      <c r="AI116" s="303"/>
      <c r="AJ116" s="468"/>
      <c r="AK116" s="468"/>
      <c r="AL116" s="468"/>
      <c r="AM116" s="468"/>
      <c r="AN116" s="468"/>
      <c r="AO116" s="468"/>
      <c r="AP116" s="468"/>
      <c r="AQ116" s="468"/>
      <c r="AR116" s="468"/>
      <c r="AS116" s="468"/>
      <c r="AT116" s="468"/>
      <c r="AU116" s="468"/>
      <c r="AV116" s="468"/>
      <c r="AW116" s="468"/>
      <c r="AX116" s="468"/>
      <c r="AY116" s="468"/>
      <c r="AZ116" s="468"/>
      <c r="BA116" s="303"/>
      <c r="BB116" s="303"/>
      <c r="BC116" s="303"/>
      <c r="BD116" s="303"/>
      <c r="BE116" s="303"/>
      <c r="BF116" s="303"/>
      <c r="BG116" s="303"/>
      <c r="BH116" s="303"/>
      <c r="BI116" s="303"/>
    </row>
    <row r="117" spans="7:61" x14ac:dyDescent="0.3">
      <c r="G117" s="301" t="s">
        <v>99</v>
      </c>
      <c r="H117" s="301"/>
      <c r="I117" s="440">
        <v>22</v>
      </c>
      <c r="J117" s="230" t="s">
        <v>100</v>
      </c>
      <c r="K117" s="303" t="s">
        <v>93</v>
      </c>
      <c r="L117" s="468" t="s">
        <v>94</v>
      </c>
      <c r="M117" s="303" t="s">
        <v>54</v>
      </c>
      <c r="N117" s="666" t="s">
        <v>101</v>
      </c>
      <c r="O117" s="303"/>
      <c r="P117" s="303"/>
      <c r="Q117" s="303"/>
      <c r="R117" s="303"/>
      <c r="S117" s="303"/>
      <c r="T117" s="303"/>
      <c r="U117" s="303"/>
      <c r="V117" s="303"/>
      <c r="W117" s="303"/>
      <c r="X117" s="303"/>
      <c r="Y117" s="303"/>
      <c r="Z117" s="303"/>
      <c r="AA117" s="303"/>
      <c r="AB117" s="468"/>
      <c r="AC117" s="468"/>
      <c r="AD117" s="468"/>
      <c r="AE117" s="468"/>
      <c r="AF117" s="468"/>
      <c r="AG117" s="303"/>
      <c r="AH117" s="303"/>
      <c r="AI117" s="303"/>
      <c r="AJ117" s="468"/>
      <c r="AK117" s="468"/>
      <c r="AL117" s="468"/>
      <c r="AM117" s="468"/>
      <c r="AN117" s="468"/>
      <c r="AO117" s="468"/>
      <c r="AP117" s="468"/>
      <c r="AQ117" s="468"/>
      <c r="AR117" s="468"/>
      <c r="AS117" s="468"/>
      <c r="AT117" s="468"/>
      <c r="AU117" s="468"/>
      <c r="AV117" s="468"/>
      <c r="AW117" s="468"/>
      <c r="AX117" s="468"/>
      <c r="AY117" s="468"/>
      <c r="AZ117" s="468"/>
      <c r="BA117" s="303"/>
      <c r="BB117" s="303"/>
      <c r="BC117" s="303"/>
      <c r="BD117" s="303"/>
      <c r="BE117" s="303"/>
      <c r="BF117" s="303"/>
      <c r="BG117" s="303"/>
      <c r="BH117" s="303"/>
      <c r="BI117" s="303"/>
    </row>
    <row r="118" spans="7:61" x14ac:dyDescent="0.3">
      <c r="G118" s="306"/>
      <c r="H118" s="306"/>
      <c r="N118" s="666"/>
      <c r="O118" s="303"/>
      <c r="P118" s="303"/>
      <c r="Q118" s="303"/>
      <c r="R118" s="303"/>
      <c r="S118" s="303"/>
      <c r="T118" s="303"/>
      <c r="U118" s="303"/>
      <c r="V118" s="303"/>
      <c r="W118" s="303"/>
      <c r="X118" s="303"/>
      <c r="Y118" s="303"/>
      <c r="Z118" s="303"/>
      <c r="AA118" s="303"/>
      <c r="AB118" s="468"/>
      <c r="AC118" s="468"/>
      <c r="AD118" s="468"/>
      <c r="AE118" s="468"/>
      <c r="AF118" s="468"/>
      <c r="AG118" s="303"/>
      <c r="AH118" s="303"/>
      <c r="AI118" s="303"/>
      <c r="AJ118" s="468"/>
      <c r="AK118" s="468"/>
      <c r="AL118" s="468"/>
      <c r="AM118" s="468"/>
      <c r="AN118" s="468"/>
      <c r="AO118" s="468"/>
      <c r="AP118" s="468"/>
      <c r="AQ118" s="468"/>
      <c r="AR118" s="468"/>
      <c r="AS118" s="468"/>
      <c r="AT118" s="468"/>
      <c r="AU118" s="468"/>
      <c r="AV118" s="468"/>
      <c r="AW118" s="468"/>
      <c r="AX118" s="468"/>
      <c r="AY118" s="468"/>
      <c r="AZ118" s="468"/>
      <c r="BA118" s="303"/>
      <c r="BB118" s="303"/>
      <c r="BC118" s="303"/>
      <c r="BD118" s="303"/>
      <c r="BE118" s="303"/>
      <c r="BF118" s="303"/>
      <c r="BG118" s="303"/>
      <c r="BH118" s="303"/>
      <c r="BI118" s="303"/>
    </row>
    <row r="119" spans="7:61" x14ac:dyDescent="0.3">
      <c r="G119" s="306"/>
      <c r="H119" s="306"/>
      <c r="N119" s="666"/>
      <c r="O119" s="303"/>
      <c r="P119" s="303"/>
      <c r="Q119" s="303"/>
      <c r="R119" s="303"/>
      <c r="S119" s="303"/>
      <c r="T119" s="303"/>
      <c r="U119" s="303"/>
      <c r="V119" s="303"/>
      <c r="W119" s="303"/>
      <c r="X119" s="303"/>
      <c r="Y119" s="303"/>
      <c r="Z119" s="303"/>
      <c r="AA119" s="303"/>
      <c r="AB119" s="468"/>
      <c r="AC119" s="468"/>
      <c r="AD119" s="468"/>
      <c r="AE119" s="468"/>
      <c r="AF119" s="468"/>
      <c r="AG119" s="303"/>
      <c r="AH119" s="303"/>
      <c r="AI119" s="303"/>
      <c r="AJ119" s="468"/>
      <c r="AK119" s="468"/>
      <c r="AL119" s="468"/>
      <c r="AM119" s="468"/>
      <c r="AN119" s="468"/>
      <c r="AO119" s="468"/>
      <c r="AP119" s="468"/>
      <c r="AQ119" s="468"/>
      <c r="AR119" s="468"/>
      <c r="AS119" s="468"/>
      <c r="AT119" s="468"/>
      <c r="AU119" s="468"/>
      <c r="AV119" s="468"/>
      <c r="AW119" s="468"/>
      <c r="AX119" s="468"/>
      <c r="AY119" s="468"/>
      <c r="AZ119" s="468"/>
      <c r="BA119" s="303"/>
      <c r="BB119" s="303"/>
      <c r="BC119" s="303"/>
      <c r="BD119" s="303"/>
      <c r="BE119" s="303"/>
      <c r="BF119" s="303"/>
      <c r="BG119" s="303"/>
      <c r="BH119" s="303"/>
      <c r="BI119" s="303"/>
    </row>
    <row r="120" spans="7:61" x14ac:dyDescent="0.3">
      <c r="G120" s="304" t="s">
        <v>102</v>
      </c>
      <c r="H120" s="304"/>
      <c r="N120" s="666"/>
      <c r="O120" s="303"/>
      <c r="P120" s="303"/>
      <c r="Q120" s="303"/>
      <c r="R120" s="303"/>
      <c r="S120" s="303"/>
      <c r="T120" s="303"/>
      <c r="U120" s="303"/>
      <c r="V120" s="303"/>
      <c r="W120" s="303"/>
      <c r="X120" s="303"/>
      <c r="Y120" s="303"/>
      <c r="Z120" s="303"/>
      <c r="AA120" s="303"/>
      <c r="AB120" s="468"/>
      <c r="AC120" s="468"/>
      <c r="AD120" s="468"/>
      <c r="AE120" s="468"/>
      <c r="AF120" s="468"/>
      <c r="AG120" s="303"/>
      <c r="AH120" s="303"/>
      <c r="AI120" s="303"/>
      <c r="AJ120" s="468"/>
      <c r="AK120" s="468"/>
      <c r="AL120" s="468"/>
      <c r="AM120" s="468"/>
      <c r="AN120" s="468"/>
      <c r="AO120" s="468"/>
      <c r="AP120" s="468"/>
      <c r="AQ120" s="468"/>
      <c r="AR120" s="468"/>
      <c r="AS120" s="468"/>
      <c r="AT120" s="468"/>
      <c r="AU120" s="468"/>
      <c r="AV120" s="468"/>
      <c r="AW120" s="468"/>
      <c r="AX120" s="468"/>
      <c r="AY120" s="468"/>
      <c r="AZ120" s="468"/>
      <c r="BA120" s="303"/>
      <c r="BB120" s="303"/>
      <c r="BC120" s="303"/>
      <c r="BD120" s="303"/>
      <c r="BE120" s="303"/>
      <c r="BF120" s="303"/>
      <c r="BG120" s="303"/>
      <c r="BH120" s="303"/>
      <c r="BI120" s="303"/>
    </row>
    <row r="121" spans="7:61" x14ac:dyDescent="0.3">
      <c r="G121" s="303" t="s">
        <v>43</v>
      </c>
      <c r="H121" s="303"/>
      <c r="K121" s="303"/>
      <c r="L121" s="468"/>
      <c r="M121" s="303"/>
      <c r="N121" s="666"/>
      <c r="O121" s="303"/>
      <c r="P121" s="303"/>
      <c r="Q121" s="303"/>
      <c r="R121" s="303"/>
      <c r="S121" s="303"/>
      <c r="T121" s="303"/>
      <c r="U121" s="303"/>
      <c r="V121" s="303"/>
      <c r="W121" s="303"/>
      <c r="X121" s="303"/>
      <c r="Y121" s="303"/>
      <c r="Z121" s="303"/>
      <c r="AA121" s="303"/>
      <c r="AB121" s="468"/>
      <c r="AC121" s="468"/>
      <c r="AD121" s="468"/>
      <c r="AE121" s="468"/>
      <c r="AF121" s="468"/>
      <c r="AG121" s="303"/>
      <c r="AH121" s="303"/>
      <c r="AI121" s="303"/>
      <c r="AJ121" s="468"/>
      <c r="AK121" s="468"/>
      <c r="AL121" s="468"/>
      <c r="AM121" s="468"/>
      <c r="AN121" s="468"/>
      <c r="AO121" s="468"/>
      <c r="AP121" s="468"/>
      <c r="AQ121" s="468"/>
      <c r="AR121" s="468"/>
      <c r="AS121" s="468"/>
      <c r="AT121" s="468"/>
      <c r="AU121" s="468"/>
      <c r="AV121" s="468"/>
      <c r="AW121" s="468"/>
      <c r="AX121" s="468"/>
      <c r="AY121" s="468"/>
      <c r="AZ121" s="468"/>
      <c r="BA121" s="303"/>
      <c r="BB121" s="303"/>
      <c r="BC121" s="303"/>
      <c r="BD121" s="303"/>
      <c r="BE121" s="303"/>
      <c r="BF121" s="303"/>
      <c r="BG121" s="303"/>
      <c r="BH121" s="303"/>
      <c r="BI121" s="303"/>
    </row>
    <row r="122" spans="7:61" x14ac:dyDescent="0.3">
      <c r="G122" s="303" t="s">
        <v>103</v>
      </c>
      <c r="H122" s="303"/>
      <c r="K122" s="303"/>
      <c r="L122" s="468"/>
      <c r="M122" s="303"/>
      <c r="N122" s="666"/>
      <c r="O122" s="303"/>
    </row>
    <row r="123" spans="7:61" x14ac:dyDescent="0.3">
      <c r="G123" s="303" t="s">
        <v>41</v>
      </c>
      <c r="H123" s="303"/>
      <c r="J123" s="304"/>
      <c r="N123" s="666"/>
    </row>
    <row r="124" spans="7:61" x14ac:dyDescent="0.3">
      <c r="G124" s="303"/>
      <c r="H124" s="303"/>
      <c r="J124" s="301"/>
      <c r="N124" s="666"/>
    </row>
    <row r="125" spans="7:61" x14ac:dyDescent="0.3">
      <c r="G125" s="304" t="s">
        <v>104</v>
      </c>
      <c r="H125" s="304"/>
      <c r="I125" s="492"/>
      <c r="J125" s="301"/>
      <c r="K125" s="301"/>
      <c r="N125" s="666"/>
    </row>
    <row r="126" spans="7:61" x14ac:dyDescent="0.3">
      <c r="G126" s="303" t="s">
        <v>39</v>
      </c>
      <c r="H126" s="303"/>
      <c r="I126" s="493"/>
      <c r="J126" s="301"/>
      <c r="K126" s="307"/>
      <c r="N126" s="666"/>
    </row>
    <row r="127" spans="7:61" x14ac:dyDescent="0.3">
      <c r="G127" s="303" t="s">
        <v>42</v>
      </c>
      <c r="H127" s="303"/>
      <c r="I127" s="492"/>
      <c r="J127" s="304"/>
      <c r="K127" s="301"/>
      <c r="N127" s="666"/>
    </row>
    <row r="128" spans="7:61" x14ac:dyDescent="0.3">
      <c r="G128" s="304"/>
      <c r="H128" s="304"/>
      <c r="I128" s="492"/>
      <c r="J128" s="301"/>
      <c r="K128" s="301"/>
      <c r="N128" s="666"/>
    </row>
    <row r="129" spans="3:14" x14ac:dyDescent="0.3">
      <c r="G129" s="304" t="s">
        <v>105</v>
      </c>
      <c r="H129" s="304"/>
      <c r="I129" s="492"/>
      <c r="J129" s="301"/>
      <c r="K129" s="301"/>
      <c r="N129" s="666"/>
    </row>
    <row r="130" spans="3:14" x14ac:dyDescent="0.3">
      <c r="I130" s="492"/>
      <c r="J130" s="301"/>
      <c r="K130" s="301"/>
      <c r="N130" s="666"/>
    </row>
    <row r="131" spans="3:14" x14ac:dyDescent="0.3">
      <c r="G131" s="303" t="s">
        <v>40</v>
      </c>
      <c r="H131" s="303"/>
      <c r="I131" s="492"/>
      <c r="J131" s="301"/>
      <c r="K131" s="301"/>
      <c r="N131" s="666"/>
    </row>
    <row r="132" spans="3:14" x14ac:dyDescent="0.3">
      <c r="G132" s="303" t="s">
        <v>106</v>
      </c>
      <c r="H132" s="303"/>
      <c r="I132" s="492"/>
      <c r="J132" s="301"/>
      <c r="K132" s="301"/>
      <c r="N132" s="666"/>
    </row>
    <row r="133" spans="3:14" x14ac:dyDescent="0.3">
      <c r="G133" s="303" t="s">
        <v>242</v>
      </c>
      <c r="H133" s="301"/>
      <c r="I133" s="492"/>
      <c r="J133" s="301"/>
      <c r="K133" s="301"/>
      <c r="N133" s="666"/>
    </row>
    <row r="134" spans="3:14" x14ac:dyDescent="0.3">
      <c r="G134" s="301"/>
      <c r="H134" s="301"/>
      <c r="I134" s="492"/>
      <c r="J134" s="301"/>
      <c r="K134" s="301"/>
      <c r="N134" s="666"/>
    </row>
    <row r="135" spans="3:14" x14ac:dyDescent="0.3">
      <c r="C135" s="230">
        <v>1</v>
      </c>
      <c r="G135" s="303" t="s">
        <v>593</v>
      </c>
      <c r="H135" s="303"/>
      <c r="I135" s="492"/>
      <c r="J135" s="301"/>
      <c r="K135" s="301"/>
      <c r="N135" s="666"/>
    </row>
    <row r="136" spans="3:14" x14ac:dyDescent="0.3">
      <c r="C136" s="230">
        <v>2</v>
      </c>
      <c r="G136" s="303" t="s">
        <v>594</v>
      </c>
      <c r="H136" s="303"/>
      <c r="I136" s="492"/>
      <c r="J136" s="301"/>
      <c r="K136" s="301"/>
      <c r="N136" s="666"/>
    </row>
    <row r="137" spans="3:14" x14ac:dyDescent="0.3">
      <c r="C137" s="230">
        <v>3</v>
      </c>
      <c r="G137" s="303" t="s">
        <v>595</v>
      </c>
      <c r="H137" s="303"/>
      <c r="N137" s="666"/>
    </row>
    <row r="138" spans="3:14" x14ac:dyDescent="0.3">
      <c r="C138" s="230">
        <v>4</v>
      </c>
      <c r="G138" s="303" t="s">
        <v>596</v>
      </c>
      <c r="H138" s="303"/>
      <c r="N138" s="666"/>
    </row>
    <row r="139" spans="3:14" x14ac:dyDescent="0.3">
      <c r="C139" s="230">
        <v>5</v>
      </c>
      <c r="G139" s="303" t="s">
        <v>211</v>
      </c>
      <c r="H139" s="303"/>
      <c r="N139" s="666"/>
    </row>
    <row r="140" spans="3:14" x14ac:dyDescent="0.3">
      <c r="C140" s="230">
        <v>6</v>
      </c>
      <c r="G140" s="303" t="s">
        <v>597</v>
      </c>
      <c r="H140" s="303"/>
      <c r="N140" s="666"/>
    </row>
    <row r="141" spans="3:14" x14ac:dyDescent="0.3">
      <c r="C141" s="230">
        <v>7</v>
      </c>
      <c r="G141" s="303" t="s">
        <v>598</v>
      </c>
      <c r="H141" s="303"/>
      <c r="N141" s="666"/>
    </row>
    <row r="142" spans="3:14" x14ac:dyDescent="0.3">
      <c r="G142" s="303"/>
      <c r="H142" s="303"/>
      <c r="N142" s="666"/>
    </row>
    <row r="143" spans="3:14" x14ac:dyDescent="0.3">
      <c r="G143" s="303"/>
      <c r="H143" s="303"/>
      <c r="N143" s="666"/>
    </row>
    <row r="144" spans="3:14" x14ac:dyDescent="0.3">
      <c r="G144" s="303"/>
      <c r="H144" s="303"/>
      <c r="N144" s="666"/>
    </row>
    <row r="145" spans="7:14" x14ac:dyDescent="0.3">
      <c r="G145" s="303"/>
      <c r="H145" s="303"/>
      <c r="N145" s="666"/>
    </row>
    <row r="146" spans="7:14" x14ac:dyDescent="0.3">
      <c r="G146" s="303"/>
      <c r="H146" s="303"/>
      <c r="N146" s="666"/>
    </row>
    <row r="147" spans="7:14" x14ac:dyDescent="0.3">
      <c r="G147" s="303"/>
      <c r="H147" s="303"/>
      <c r="N147" s="666"/>
    </row>
    <row r="148" spans="7:14" x14ac:dyDescent="0.3">
      <c r="G148" s="303"/>
      <c r="H148" s="303"/>
      <c r="N148" s="666"/>
    </row>
    <row r="149" spans="7:14" x14ac:dyDescent="0.3">
      <c r="G149" s="303"/>
      <c r="H149" s="303"/>
      <c r="N149" s="666"/>
    </row>
    <row r="150" spans="7:14" x14ac:dyDescent="0.3">
      <c r="G150" s="303"/>
      <c r="H150" s="303"/>
      <c r="N150" s="666"/>
    </row>
    <row r="151" spans="7:14" x14ac:dyDescent="0.3">
      <c r="G151" s="303"/>
      <c r="H151" s="303"/>
      <c r="N151" s="666"/>
    </row>
    <row r="152" spans="7:14" x14ac:dyDescent="0.3">
      <c r="G152" s="303"/>
      <c r="H152" s="303"/>
      <c r="N152" s="666"/>
    </row>
    <row r="153" spans="7:14" x14ac:dyDescent="0.3">
      <c r="G153" s="303"/>
      <c r="H153" s="303"/>
      <c r="N153" s="666"/>
    </row>
    <row r="154" spans="7:14" x14ac:dyDescent="0.3">
      <c r="G154" s="303"/>
      <c r="H154" s="303"/>
      <c r="N154" s="666"/>
    </row>
    <row r="155" spans="7:14" x14ac:dyDescent="0.3">
      <c r="G155" s="303"/>
      <c r="H155" s="303"/>
      <c r="N155" s="666"/>
    </row>
    <row r="156" spans="7:14" x14ac:dyDescent="0.3">
      <c r="G156" s="303"/>
      <c r="H156" s="303"/>
      <c r="N156" s="666"/>
    </row>
    <row r="157" spans="7:14" x14ac:dyDescent="0.3">
      <c r="G157" s="303"/>
      <c r="H157" s="303"/>
      <c r="N157" s="666"/>
    </row>
    <row r="158" spans="7:14" x14ac:dyDescent="0.3">
      <c r="G158" s="303"/>
      <c r="H158" s="303"/>
      <c r="N158" s="666"/>
    </row>
    <row r="159" spans="7:14" x14ac:dyDescent="0.25">
      <c r="G159" s="303"/>
      <c r="H159" s="303"/>
    </row>
    <row r="160" spans="7:14" x14ac:dyDescent="0.25">
      <c r="G160" s="303"/>
      <c r="H160" s="303"/>
    </row>
    <row r="161" spans="7:8" x14ac:dyDescent="0.25">
      <c r="G161" s="303"/>
      <c r="H161" s="303"/>
    </row>
    <row r="162" spans="7:8" x14ac:dyDescent="0.25">
      <c r="G162" s="303"/>
      <c r="H162" s="303"/>
    </row>
    <row r="163" spans="7:8" x14ac:dyDescent="0.25">
      <c r="G163" s="303"/>
      <c r="H163" s="303"/>
    </row>
    <row r="164" spans="7:8" x14ac:dyDescent="0.25">
      <c r="G164" s="303"/>
      <c r="H164" s="303"/>
    </row>
    <row r="165" spans="7:8" x14ac:dyDescent="0.25">
      <c r="G165" s="303"/>
      <c r="H165" s="303"/>
    </row>
    <row r="166" spans="7:8" x14ac:dyDescent="0.25">
      <c r="G166" s="303"/>
      <c r="H166" s="303"/>
    </row>
    <row r="167" spans="7:8" x14ac:dyDescent="0.25">
      <c r="G167" s="303"/>
      <c r="H167" s="303"/>
    </row>
    <row r="168" spans="7:8" x14ac:dyDescent="0.25">
      <c r="G168" s="303"/>
      <c r="H168" s="303"/>
    </row>
    <row r="169" spans="7:8" x14ac:dyDescent="0.25">
      <c r="G169" s="303"/>
      <c r="H169" s="303"/>
    </row>
    <row r="170" spans="7:8" x14ac:dyDescent="0.25">
      <c r="G170" s="303"/>
      <c r="H170" s="303"/>
    </row>
    <row r="171" spans="7:8" x14ac:dyDescent="0.25">
      <c r="G171" s="303"/>
      <c r="H171" s="303"/>
    </row>
    <row r="172" spans="7:8" x14ac:dyDescent="0.25">
      <c r="G172" s="303"/>
      <c r="H172" s="303"/>
    </row>
    <row r="173" spans="7:8" x14ac:dyDescent="0.25">
      <c r="G173" s="303"/>
      <c r="H173" s="303"/>
    </row>
    <row r="174" spans="7:8" x14ac:dyDescent="0.25">
      <c r="G174" s="303"/>
      <c r="H174" s="303"/>
    </row>
    <row r="175" spans="7:8" x14ac:dyDescent="0.25">
      <c r="G175" s="303"/>
      <c r="H175" s="303"/>
    </row>
    <row r="176" spans="7:8" x14ac:dyDescent="0.25">
      <c r="G176" s="303"/>
      <c r="H176" s="303"/>
    </row>
    <row r="177" spans="7:8" x14ac:dyDescent="0.25">
      <c r="G177" s="303"/>
      <c r="H177" s="303"/>
    </row>
    <row r="178" spans="7:8" x14ac:dyDescent="0.25">
      <c r="G178" s="303"/>
      <c r="H178" s="303"/>
    </row>
    <row r="179" spans="7:8" x14ac:dyDescent="0.25">
      <c r="G179" s="303"/>
      <c r="H179" s="303"/>
    </row>
    <row r="180" spans="7:8" x14ac:dyDescent="0.25">
      <c r="G180" s="303"/>
      <c r="H180" s="303"/>
    </row>
    <row r="181" spans="7:8" x14ac:dyDescent="0.25">
      <c r="G181" s="303"/>
      <c r="H181" s="303"/>
    </row>
    <row r="182" spans="7:8" x14ac:dyDescent="0.25">
      <c r="G182" s="303"/>
      <c r="H182" s="303"/>
    </row>
    <row r="183" spans="7:8" x14ac:dyDescent="0.25">
      <c r="G183" s="303"/>
      <c r="H183" s="303"/>
    </row>
    <row r="184" spans="7:8" x14ac:dyDescent="0.25">
      <c r="G184" s="303"/>
      <c r="H184" s="303"/>
    </row>
    <row r="185" spans="7:8" x14ac:dyDescent="0.25">
      <c r="G185" s="303"/>
      <c r="H185" s="303"/>
    </row>
    <row r="186" spans="7:8" x14ac:dyDescent="0.25">
      <c r="G186" s="303"/>
      <c r="H186" s="303"/>
    </row>
    <row r="187" spans="7:8" x14ac:dyDescent="0.25">
      <c r="G187" s="303"/>
      <c r="H187" s="303"/>
    </row>
    <row r="188" spans="7:8" x14ac:dyDescent="0.25">
      <c r="G188" s="303"/>
      <c r="H188" s="303"/>
    </row>
  </sheetData>
  <sheetProtection algorithmName="SHA-512" hashValue="FrGScV2G/qxOoYuMM0ToryFUrLIDdByxGRTG+oIe5lo0typbeGn5VV/Rym5/q1J1q9rB5tvXGpXaWHNRfUF0xg==" saltValue="1H7WN/GVaDTiZbvIY3mDwA==" spinCount="100000" sheet="1" objects="1" scenarios="1"/>
  <mergeCells count="71">
    <mergeCell ref="AS8:AS10"/>
    <mergeCell ref="AS11:AS15"/>
    <mergeCell ref="AS16:AS21"/>
    <mergeCell ref="AS23:AS24"/>
    <mergeCell ref="AT8:AT10"/>
    <mergeCell ref="AT11:AT15"/>
    <mergeCell ref="AT16:AT21"/>
    <mergeCell ref="AT23:AT24"/>
    <mergeCell ref="AI9:AI10"/>
    <mergeCell ref="L9:N9"/>
    <mergeCell ref="O9:Q9"/>
    <mergeCell ref="R9:T9"/>
    <mergeCell ref="U9:W9"/>
    <mergeCell ref="X9:Z9"/>
    <mergeCell ref="AB9:AB10"/>
    <mergeCell ref="AC9:AD9"/>
    <mergeCell ref="AA8:AA10"/>
    <mergeCell ref="AB8:AE8"/>
    <mergeCell ref="AF8:AF10"/>
    <mergeCell ref="B7:G7"/>
    <mergeCell ref="I7:V7"/>
    <mergeCell ref="E16:E21"/>
    <mergeCell ref="AR9:AR10"/>
    <mergeCell ref="AJ8:AL8"/>
    <mergeCell ref="AM8:AO8"/>
    <mergeCell ref="AP8:AR8"/>
    <mergeCell ref="AL9:AL10"/>
    <mergeCell ref="AM9:AN9"/>
    <mergeCell ref="AO9:AO10"/>
    <mergeCell ref="AJ9:AK9"/>
    <mergeCell ref="AP9:AQ9"/>
    <mergeCell ref="AG8:AI8"/>
    <mergeCell ref="AE9:AE10"/>
    <mergeCell ref="AG9:AH9"/>
    <mergeCell ref="F8:F10"/>
    <mergeCell ref="B5:G5"/>
    <mergeCell ref="I5:V5"/>
    <mergeCell ref="W5:X5"/>
    <mergeCell ref="Y5:AA5"/>
    <mergeCell ref="I6:AA6"/>
    <mergeCell ref="I4:AA4"/>
    <mergeCell ref="K8:K10"/>
    <mergeCell ref="L8:Z8"/>
    <mergeCell ref="W7:Z7"/>
    <mergeCell ref="B1:G3"/>
    <mergeCell ref="B4:G4"/>
    <mergeCell ref="B6:G6"/>
    <mergeCell ref="G8:G10"/>
    <mergeCell ref="I8:I10"/>
    <mergeCell ref="J8:J10"/>
    <mergeCell ref="H8:H10"/>
    <mergeCell ref="I1:AA1"/>
    <mergeCell ref="I2:AA2"/>
    <mergeCell ref="I3:R3"/>
    <mergeCell ref="S3:T3"/>
    <mergeCell ref="U3:AA3"/>
    <mergeCell ref="B11:B15"/>
    <mergeCell ref="D11:D15"/>
    <mergeCell ref="C11:C15"/>
    <mergeCell ref="E8:E10"/>
    <mergeCell ref="E11:E15"/>
    <mergeCell ref="B8:B10"/>
    <mergeCell ref="C8:C10"/>
    <mergeCell ref="D8:D10"/>
    <mergeCell ref="D23:D24"/>
    <mergeCell ref="E23:E24"/>
    <mergeCell ref="C23:C24"/>
    <mergeCell ref="B23:B24"/>
    <mergeCell ref="B16:B21"/>
    <mergeCell ref="C16:C21"/>
    <mergeCell ref="D16:D21"/>
  </mergeCells>
  <conditionalFormatting sqref="W11 T11 Q11:Q12 Q22 T22 W22 Z11 T15 W15 Z15:Z22 N11:N24">
    <cfRule type="cellIs" dxfId="159" priority="125" stopIfTrue="1" operator="equal">
      <formula>0</formula>
    </cfRule>
    <cfRule type="cellIs" dxfId="158" priority="126" stopIfTrue="1" operator="greaterThan">
      <formula>1</formula>
    </cfRule>
    <cfRule type="cellIs" dxfId="157" priority="127" stopIfTrue="1" operator="between">
      <formula>0.9</formula>
      <formula>1</formula>
    </cfRule>
    <cfRule type="cellIs" dxfId="156" priority="128" stopIfTrue="1" operator="between">
      <formula>0.7</formula>
      <formula>0.8999</formula>
    </cfRule>
    <cfRule type="cellIs" dxfId="155" priority="129" stopIfTrue="1" operator="between">
      <formula>0.00001</formula>
      <formula>0.6999</formula>
    </cfRule>
  </conditionalFormatting>
  <conditionalFormatting sqref="T13:T14">
    <cfRule type="cellIs" dxfId="154" priority="43" stopIfTrue="1" operator="equal">
      <formula>0</formula>
    </cfRule>
    <cfRule type="cellIs" dxfId="153" priority="44" stopIfTrue="1" operator="greaterThan">
      <formula>1</formula>
    </cfRule>
    <cfRule type="cellIs" dxfId="152" priority="45" stopIfTrue="1" operator="between">
      <formula>0.9</formula>
      <formula>1</formula>
    </cfRule>
    <cfRule type="cellIs" dxfId="151" priority="46" stopIfTrue="1" operator="between">
      <formula>0.7</formula>
      <formula>0.8999</formula>
    </cfRule>
    <cfRule type="cellIs" dxfId="150" priority="47" stopIfTrue="1" operator="between">
      <formula>0.00001</formula>
      <formula>0.6999</formula>
    </cfRule>
  </conditionalFormatting>
  <conditionalFormatting sqref="Z14">
    <cfRule type="cellIs" dxfId="149" priority="78" stopIfTrue="1" operator="equal">
      <formula>0</formula>
    </cfRule>
    <cfRule type="cellIs" dxfId="148" priority="79" stopIfTrue="1" operator="greaterThan">
      <formula>1</formula>
    </cfRule>
    <cfRule type="cellIs" dxfId="147" priority="80" stopIfTrue="1" operator="between">
      <formula>0.9</formula>
      <formula>1</formula>
    </cfRule>
    <cfRule type="cellIs" dxfId="146" priority="81" stopIfTrue="1" operator="between">
      <formula>0.7</formula>
      <formula>0.8999</formula>
    </cfRule>
    <cfRule type="cellIs" dxfId="145" priority="82" stopIfTrue="1" operator="between">
      <formula>0.00001</formula>
      <formula>0.6999</formula>
    </cfRule>
  </conditionalFormatting>
  <conditionalFormatting sqref="T12">
    <cfRule type="cellIs" dxfId="144" priority="73" stopIfTrue="1" operator="equal">
      <formula>0</formula>
    </cfRule>
    <cfRule type="cellIs" dxfId="143" priority="74" stopIfTrue="1" operator="greaterThan">
      <formula>1</formula>
    </cfRule>
    <cfRule type="cellIs" dxfId="142" priority="75" stopIfTrue="1" operator="between">
      <formula>0.9</formula>
      <formula>1</formula>
    </cfRule>
    <cfRule type="cellIs" dxfId="141" priority="76" stopIfTrue="1" operator="between">
      <formula>0.7</formula>
      <formula>0.8999</formula>
    </cfRule>
    <cfRule type="cellIs" dxfId="140" priority="77" stopIfTrue="1" operator="between">
      <formula>0.00001</formula>
      <formula>0.6999</formula>
    </cfRule>
  </conditionalFormatting>
  <conditionalFormatting sqref="W12">
    <cfRule type="cellIs" dxfId="139" priority="68" stopIfTrue="1" operator="equal">
      <formula>0</formula>
    </cfRule>
    <cfRule type="cellIs" dxfId="138" priority="69" stopIfTrue="1" operator="greaterThan">
      <formula>1</formula>
    </cfRule>
    <cfRule type="cellIs" dxfId="137" priority="70" stopIfTrue="1" operator="between">
      <formula>0.9</formula>
      <formula>1</formula>
    </cfRule>
    <cfRule type="cellIs" dxfId="136" priority="71" stopIfTrue="1" operator="between">
      <formula>0.7</formula>
      <formula>0.8999</formula>
    </cfRule>
    <cfRule type="cellIs" dxfId="135" priority="72" stopIfTrue="1" operator="between">
      <formula>0.00001</formula>
      <formula>0.6999</formula>
    </cfRule>
  </conditionalFormatting>
  <conditionalFormatting sqref="Z12">
    <cfRule type="cellIs" dxfId="134" priority="63" stopIfTrue="1" operator="equal">
      <formula>0</formula>
    </cfRule>
    <cfRule type="cellIs" dxfId="133" priority="64" stopIfTrue="1" operator="greaterThan">
      <formula>1</formula>
    </cfRule>
    <cfRule type="cellIs" dxfId="132" priority="65" stopIfTrue="1" operator="between">
      <formula>0.9</formula>
      <formula>1</formula>
    </cfRule>
    <cfRule type="cellIs" dxfId="131" priority="66" stopIfTrue="1" operator="between">
      <formula>0.7</formula>
      <formula>0.8999</formula>
    </cfRule>
    <cfRule type="cellIs" dxfId="130" priority="67" stopIfTrue="1" operator="between">
      <formula>0.00001</formula>
      <formula>0.6999</formula>
    </cfRule>
  </conditionalFormatting>
  <conditionalFormatting sqref="Z13">
    <cfRule type="cellIs" dxfId="129" priority="53" stopIfTrue="1" operator="equal">
      <formula>0</formula>
    </cfRule>
    <cfRule type="cellIs" dxfId="128" priority="54" stopIfTrue="1" operator="greaterThan">
      <formula>1</formula>
    </cfRule>
    <cfRule type="cellIs" dxfId="127" priority="55" stopIfTrue="1" operator="between">
      <formula>0.9</formula>
      <formula>1</formula>
    </cfRule>
    <cfRule type="cellIs" dxfId="126" priority="56" stopIfTrue="1" operator="between">
      <formula>0.7</formula>
      <formula>0.8999</formula>
    </cfRule>
    <cfRule type="cellIs" dxfId="125" priority="57" stopIfTrue="1" operator="between">
      <formula>0.00001</formula>
      <formula>0.6999</formula>
    </cfRule>
  </conditionalFormatting>
  <conditionalFormatting sqref="Q13:Q15">
    <cfRule type="cellIs" dxfId="124" priority="48" stopIfTrue="1" operator="equal">
      <formula>0</formula>
    </cfRule>
    <cfRule type="cellIs" dxfId="123" priority="49" stopIfTrue="1" operator="greaterThan">
      <formula>1</formula>
    </cfRule>
    <cfRule type="cellIs" dxfId="122" priority="50" stopIfTrue="1" operator="between">
      <formula>0.9</formula>
      <formula>1</formula>
    </cfRule>
    <cfRule type="cellIs" dxfId="121" priority="51" stopIfTrue="1" operator="between">
      <formula>0.7</formula>
      <formula>0.8999</formula>
    </cfRule>
    <cfRule type="cellIs" dxfId="120" priority="52" stopIfTrue="1" operator="between">
      <formula>0.00001</formula>
      <formula>0.6999</formula>
    </cfRule>
  </conditionalFormatting>
  <conditionalFormatting sqref="W13:W14">
    <cfRule type="cellIs" dxfId="119" priority="38" stopIfTrue="1" operator="equal">
      <formula>0</formula>
    </cfRule>
    <cfRule type="cellIs" dxfId="118" priority="39" stopIfTrue="1" operator="greaterThan">
      <formula>1</formula>
    </cfRule>
    <cfRule type="cellIs" dxfId="117" priority="40" stopIfTrue="1" operator="between">
      <formula>0.9</formula>
      <formula>1</formula>
    </cfRule>
    <cfRule type="cellIs" dxfId="116" priority="41" stopIfTrue="1" operator="between">
      <formula>0.7</formula>
      <formula>0.8999</formula>
    </cfRule>
    <cfRule type="cellIs" dxfId="115" priority="42" stopIfTrue="1" operator="between">
      <formula>0.00001</formula>
      <formula>0.6999</formula>
    </cfRule>
  </conditionalFormatting>
  <conditionalFormatting sqref="Q16:Q21">
    <cfRule type="cellIs" dxfId="114" priority="33" stopIfTrue="1" operator="equal">
      <formula>0</formula>
    </cfRule>
    <cfRule type="cellIs" dxfId="113" priority="34" stopIfTrue="1" operator="greaterThan">
      <formula>1</formula>
    </cfRule>
    <cfRule type="cellIs" dxfId="112" priority="35" stopIfTrue="1" operator="between">
      <formula>0.9</formula>
      <formula>1</formula>
    </cfRule>
    <cfRule type="cellIs" dxfId="111" priority="36" stopIfTrue="1" operator="between">
      <formula>0.7</formula>
      <formula>0.8999</formula>
    </cfRule>
    <cfRule type="cellIs" dxfId="110" priority="37" stopIfTrue="1" operator="between">
      <formula>0.00001</formula>
      <formula>0.6999</formula>
    </cfRule>
  </conditionalFormatting>
  <conditionalFormatting sqref="Q23:Q24">
    <cfRule type="cellIs" dxfId="109" priority="28" stopIfTrue="1" operator="equal">
      <formula>0</formula>
    </cfRule>
    <cfRule type="cellIs" dxfId="108" priority="29" stopIfTrue="1" operator="greaterThan">
      <formula>1</formula>
    </cfRule>
    <cfRule type="cellIs" dxfId="107" priority="30" stopIfTrue="1" operator="between">
      <formula>0.9</formula>
      <formula>1</formula>
    </cfRule>
    <cfRule type="cellIs" dxfId="106" priority="31" stopIfTrue="1" operator="between">
      <formula>0.7</formula>
      <formula>0.8999</formula>
    </cfRule>
    <cfRule type="cellIs" dxfId="105" priority="32" stopIfTrue="1" operator="between">
      <formula>0.00001</formula>
      <formula>0.6999</formula>
    </cfRule>
  </conditionalFormatting>
  <conditionalFormatting sqref="T16:T21">
    <cfRule type="cellIs" dxfId="104" priority="23" stopIfTrue="1" operator="equal">
      <formula>0</formula>
    </cfRule>
    <cfRule type="cellIs" dxfId="103" priority="24" stopIfTrue="1" operator="greaterThan">
      <formula>1</formula>
    </cfRule>
    <cfRule type="cellIs" dxfId="102" priority="25" stopIfTrue="1" operator="between">
      <formula>0.9</formula>
      <formula>1</formula>
    </cfRule>
    <cfRule type="cellIs" dxfId="101" priority="26" stopIfTrue="1" operator="between">
      <formula>0.7</formula>
      <formula>0.8999</formula>
    </cfRule>
    <cfRule type="cellIs" dxfId="100" priority="27" stopIfTrue="1" operator="between">
      <formula>0.00001</formula>
      <formula>0.6999</formula>
    </cfRule>
  </conditionalFormatting>
  <conditionalFormatting sqref="T23:T24">
    <cfRule type="cellIs" dxfId="99" priority="18" stopIfTrue="1" operator="equal">
      <formula>0</formula>
    </cfRule>
    <cfRule type="cellIs" dxfId="98" priority="19" stopIfTrue="1" operator="greaterThan">
      <formula>1</formula>
    </cfRule>
    <cfRule type="cellIs" dxfId="97" priority="20" stopIfTrue="1" operator="between">
      <formula>0.9</formula>
      <formula>1</formula>
    </cfRule>
    <cfRule type="cellIs" dxfId="96" priority="21" stopIfTrue="1" operator="between">
      <formula>0.7</formula>
      <formula>0.8999</formula>
    </cfRule>
    <cfRule type="cellIs" dxfId="95" priority="22" stopIfTrue="1" operator="between">
      <formula>0.00001</formula>
      <formula>0.6999</formula>
    </cfRule>
  </conditionalFormatting>
  <conditionalFormatting sqref="W16:W21">
    <cfRule type="cellIs" dxfId="94" priority="13" stopIfTrue="1" operator="equal">
      <formula>0</formula>
    </cfRule>
    <cfRule type="cellIs" dxfId="93" priority="14" stopIfTrue="1" operator="greaterThan">
      <formula>1</formula>
    </cfRule>
    <cfRule type="cellIs" dxfId="92" priority="15" stopIfTrue="1" operator="between">
      <formula>0.9</formula>
      <formula>1</formula>
    </cfRule>
    <cfRule type="cellIs" dxfId="91" priority="16" stopIfTrue="1" operator="between">
      <formula>0.7</formula>
      <formula>0.8999</formula>
    </cfRule>
    <cfRule type="cellIs" dxfId="90" priority="17" stopIfTrue="1" operator="between">
      <formula>0.00001</formula>
      <formula>0.6999</formula>
    </cfRule>
  </conditionalFormatting>
  <conditionalFormatting sqref="W23:W24">
    <cfRule type="cellIs" dxfId="89" priority="8" stopIfTrue="1" operator="equal">
      <formula>0</formula>
    </cfRule>
    <cfRule type="cellIs" dxfId="88" priority="9" stopIfTrue="1" operator="greaterThan">
      <formula>1</formula>
    </cfRule>
    <cfRule type="cellIs" dxfId="87" priority="10" stopIfTrue="1" operator="between">
      <formula>0.9</formula>
      <formula>1</formula>
    </cfRule>
    <cfRule type="cellIs" dxfId="86" priority="11" stopIfTrue="1" operator="between">
      <formula>0.7</formula>
      <formula>0.8999</formula>
    </cfRule>
    <cfRule type="cellIs" dxfId="85" priority="12" stopIfTrue="1" operator="between">
      <formula>0.00001</formula>
      <formula>0.6999</formula>
    </cfRule>
  </conditionalFormatting>
  <conditionalFormatting sqref="Z23:Z24">
    <cfRule type="cellIs" dxfId="84" priority="3" stopIfTrue="1" operator="equal">
      <formula>0</formula>
    </cfRule>
    <cfRule type="cellIs" dxfId="83" priority="4" stopIfTrue="1" operator="greaterThan">
      <formula>1</formula>
    </cfRule>
    <cfRule type="cellIs" dxfId="82" priority="5" stopIfTrue="1" operator="between">
      <formula>0.9</formula>
      <formula>1</formula>
    </cfRule>
    <cfRule type="cellIs" dxfId="81" priority="6" stopIfTrue="1" operator="between">
      <formula>0.7</formula>
      <formula>0.8999</formula>
    </cfRule>
    <cfRule type="cellIs" dxfId="80" priority="7" stopIfTrue="1" operator="between">
      <formula>0.00001</formula>
      <formula>0.6999</formula>
    </cfRule>
  </conditionalFormatting>
  <conditionalFormatting sqref="N13">
    <cfRule type="cellIs" dxfId="79" priority="1" operator="lessThanOrEqual">
      <formula>0.03</formula>
    </cfRule>
    <cfRule type="cellIs" dxfId="78" priority="2" operator="greaterThan">
      <formula>1</formula>
    </cfRule>
  </conditionalFormatting>
  <dataValidations disablePrompts="1" count="10">
    <dataValidation showInputMessage="1" showErrorMessage="1" sqref="W5"/>
    <dataValidation type="list" allowBlank="1" showInputMessage="1" showErrorMessage="1" prompt="Elija una opción del menú desplegable" sqref="I5">
      <formula1>$G$91:$G$116</formula1>
    </dataValidation>
    <dataValidation allowBlank="1" showInputMessage="1" showErrorMessage="1" sqref="Y5:AA5"/>
    <dataValidation type="list" allowBlank="1" showInputMessage="1" showErrorMessage="1" prompt="Seleccione la Vigencia del Plan de Gestión" sqref="S3:T3">
      <formula1>$B$91:$B$102</formula1>
    </dataValidation>
    <dataValidation type="list" allowBlank="1" showInputMessage="1" showErrorMessage="1" sqref="B11:B15 B22:B23">
      <formula1>$G$135:$G$141</formula1>
    </dataValidation>
    <dataValidation type="list" allowBlank="1" showInputMessage="1" showErrorMessage="1" prompt="Elija una opción del menu desplegable" sqref="J11:J21">
      <formula1>$G$126:$G$127</formula1>
    </dataValidation>
    <dataValidation type="list" allowBlank="1" showInputMessage="1" showErrorMessage="1" prompt="Elija una opción del menu desplegable" sqref="J22:J24">
      <formula1>$D$109:$D$110</formula1>
    </dataValidation>
    <dataValidation type="list" errorStyle="information" showInputMessage="1" showErrorMessage="1" error="Elija una Categoría" prompt="Elija una opción del menú desplegable" sqref="AE11:AE24">
      <formula1>$G$121:$G$123</formula1>
    </dataValidation>
    <dataValidation type="list" allowBlank="1" showInputMessage="1" showErrorMessage="1" error="Debe seleccionar uno de los campos del menu desplegable" prompt="Elija una opción del menu desplegable" sqref="K11:K24">
      <formula1>$G$131:$G$132</formula1>
    </dataValidation>
    <dataValidation errorStyle="information" showInputMessage="1" showErrorMessage="1" error="Elija una Categoría" prompt="Elija una Categoría del menú desplegable" sqref="AF11:AF24"/>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57D751"/>
  </sheetPr>
  <dimension ref="A1:BG186"/>
  <sheetViews>
    <sheetView zoomScale="55" zoomScaleNormal="55" zoomScaleSheetLayoutView="55" workbookViewId="0">
      <pane xSplit="4" ySplit="10" topLeftCell="E11" activePane="bottomRight" state="frozen"/>
      <selection pane="topRight" activeCell="E1" sqref="E1"/>
      <selection pane="bottomLeft" activeCell="A11" sqref="A11"/>
      <selection pane="bottomRight" activeCell="E38" sqref="E38"/>
    </sheetView>
  </sheetViews>
  <sheetFormatPr baseColWidth="10" defaultColWidth="11.5" defaultRowHeight="15.75" x14ac:dyDescent="0.25"/>
  <cols>
    <col min="1" max="1" width="14.5" style="106" customWidth="1"/>
    <col min="2" max="2" width="5.125" style="106" customWidth="1"/>
    <col min="3" max="3" width="20.125" style="106" customWidth="1"/>
    <col min="4" max="4" width="7.5" style="106" customWidth="1"/>
    <col min="5" max="5" width="8.5" style="106" customWidth="1"/>
    <col min="6" max="6" width="27.375" style="106" customWidth="1"/>
    <col min="7" max="7" width="14.625" style="106" customWidth="1"/>
    <col min="8" max="8" width="25.125" style="106" bestFit="1" customWidth="1"/>
    <col min="9" max="9" width="12.5" style="106" customWidth="1"/>
    <col min="10" max="10" width="18.5" style="106" customWidth="1"/>
    <col min="11" max="11" width="10.375" style="575" customWidth="1"/>
    <col min="12" max="12" width="11.375" style="106" customWidth="1"/>
    <col min="13" max="13" width="10.875" style="106" customWidth="1"/>
    <col min="14" max="14" width="9.375" style="575" customWidth="1"/>
    <col min="15" max="15" width="11.875" style="106" customWidth="1"/>
    <col min="16" max="16" width="9.875" style="106" customWidth="1"/>
    <col min="17" max="17" width="7.5" style="575" customWidth="1"/>
    <col min="18" max="18" width="7.125" style="106" customWidth="1"/>
    <col min="19" max="19" width="10.375" style="106" customWidth="1"/>
    <col min="20" max="20" width="7.5" style="575" customWidth="1"/>
    <col min="21" max="21" width="5.625" style="106" customWidth="1"/>
    <col min="22" max="22" width="7.5" style="106" customWidth="1"/>
    <col min="23" max="23" width="9" style="106" customWidth="1"/>
    <col min="24" max="24" width="8.125" style="106" customWidth="1"/>
    <col min="25" max="25" width="8.875" style="106" customWidth="1"/>
    <col min="26" max="26" width="18.125" style="106" customWidth="1"/>
    <col min="27" max="27" width="21.5" style="106" customWidth="1"/>
    <col min="28" max="29" width="15.5" style="106" customWidth="1"/>
    <col min="30" max="30" width="11.5" style="106" customWidth="1"/>
    <col min="31" max="31" width="13.875" style="106" customWidth="1"/>
    <col min="32" max="32" width="18.125" style="446" customWidth="1"/>
    <col min="33" max="33" width="15.125" style="446" customWidth="1"/>
    <col min="34" max="34" width="24.375" style="106" customWidth="1"/>
    <col min="35" max="36" width="11.5" style="1207" customWidth="1"/>
    <col min="37" max="37" width="24.375" style="106" customWidth="1"/>
    <col min="38" max="39" width="11.5" style="106" customWidth="1"/>
    <col min="40" max="40" width="24.375" style="106" customWidth="1"/>
    <col min="41" max="42" width="11.5" style="106" customWidth="1"/>
    <col min="43" max="43" width="24.375" style="106" customWidth="1"/>
    <col min="44" max="16384" width="11.5" style="106"/>
  </cols>
  <sheetData>
    <row r="1" spans="1:47" ht="27.75" customHeight="1" x14ac:dyDescent="0.25">
      <c r="A1" s="1665"/>
      <c r="B1" s="1713"/>
      <c r="C1" s="1713"/>
      <c r="D1" s="1713"/>
      <c r="E1" s="1713"/>
      <c r="F1" s="1714"/>
      <c r="G1" s="413"/>
      <c r="H1" s="1717" t="s">
        <v>176</v>
      </c>
      <c r="I1" s="1718"/>
      <c r="J1" s="1718"/>
      <c r="K1" s="1718"/>
      <c r="L1" s="1718"/>
      <c r="M1" s="1718"/>
      <c r="N1" s="1718"/>
      <c r="O1" s="1718"/>
      <c r="P1" s="1718"/>
      <c r="Q1" s="1718"/>
      <c r="R1" s="1718"/>
      <c r="S1" s="1718"/>
      <c r="T1" s="1718"/>
      <c r="U1" s="1718"/>
      <c r="V1" s="1718"/>
      <c r="W1" s="1718"/>
      <c r="X1" s="1718"/>
      <c r="Y1" s="1718"/>
      <c r="Z1" s="1719"/>
      <c r="AA1" s="326"/>
      <c r="AB1" s="326"/>
      <c r="AC1" s="326"/>
      <c r="AD1" s="103"/>
      <c r="AE1" s="103"/>
      <c r="AF1" s="445"/>
      <c r="AG1" s="445"/>
      <c r="AH1" s="104"/>
      <c r="AI1" s="1206"/>
      <c r="AJ1" s="1206"/>
      <c r="AK1" s="104"/>
      <c r="AL1" s="104"/>
      <c r="AM1" s="104"/>
      <c r="AN1" s="104"/>
      <c r="AO1" s="104"/>
      <c r="AP1" s="104"/>
      <c r="AQ1" s="105"/>
    </row>
    <row r="2" spans="1:47" ht="27.75" customHeight="1" x14ac:dyDescent="0.25">
      <c r="A2" s="1667"/>
      <c r="B2" s="1715"/>
      <c r="C2" s="1715"/>
      <c r="D2" s="1715"/>
      <c r="E2" s="1715"/>
      <c r="F2" s="1716"/>
      <c r="G2" s="414"/>
      <c r="H2" s="1708" t="s">
        <v>0</v>
      </c>
      <c r="I2" s="1709"/>
      <c r="J2" s="1709"/>
      <c r="K2" s="1709"/>
      <c r="L2" s="1709"/>
      <c r="M2" s="1709"/>
      <c r="N2" s="1709"/>
      <c r="O2" s="1709"/>
      <c r="P2" s="1709"/>
      <c r="Q2" s="1709"/>
      <c r="R2" s="1709"/>
      <c r="S2" s="1709"/>
      <c r="T2" s="1709"/>
      <c r="U2" s="1709"/>
      <c r="V2" s="1709"/>
      <c r="W2" s="1709"/>
      <c r="X2" s="1709"/>
      <c r="Y2" s="1709"/>
      <c r="Z2" s="1720"/>
      <c r="AA2" s="108"/>
      <c r="AB2" s="108"/>
      <c r="AC2" s="108"/>
      <c r="AD2" s="415"/>
      <c r="AE2" s="415"/>
      <c r="AQ2" s="110"/>
    </row>
    <row r="3" spans="1:47" ht="27.75" customHeight="1" x14ac:dyDescent="0.25">
      <c r="A3" s="1667"/>
      <c r="B3" s="1715"/>
      <c r="C3" s="1715"/>
      <c r="D3" s="1715"/>
      <c r="E3" s="1715"/>
      <c r="F3" s="1716"/>
      <c r="G3" s="414"/>
      <c r="H3" s="1721" t="s">
        <v>210</v>
      </c>
      <c r="I3" s="1722"/>
      <c r="J3" s="1722"/>
      <c r="K3" s="1722"/>
      <c r="L3" s="1722"/>
      <c r="M3" s="1722"/>
      <c r="N3" s="1722"/>
      <c r="O3" s="1722"/>
      <c r="P3" s="1722"/>
      <c r="Q3" s="1722"/>
      <c r="R3" s="1723">
        <v>2019</v>
      </c>
      <c r="S3" s="1723"/>
      <c r="T3" s="1724"/>
      <c r="U3" s="1724"/>
      <c r="V3" s="1724"/>
      <c r="W3" s="1724"/>
      <c r="X3" s="1724"/>
      <c r="Y3" s="1724"/>
      <c r="Z3" s="1725"/>
      <c r="AA3" s="172"/>
      <c r="AB3" s="172"/>
      <c r="AC3" s="172"/>
      <c r="AD3" s="415"/>
      <c r="AQ3" s="110"/>
    </row>
    <row r="4" spans="1:47" ht="27.75" customHeight="1" x14ac:dyDescent="0.25">
      <c r="A4" s="1692" t="s">
        <v>1</v>
      </c>
      <c r="B4" s="1693"/>
      <c r="C4" s="1693"/>
      <c r="D4" s="1693"/>
      <c r="E4" s="1693"/>
      <c r="F4" s="1694"/>
      <c r="G4" s="415"/>
      <c r="H4" s="1705" t="s">
        <v>227</v>
      </c>
      <c r="I4" s="1706"/>
      <c r="J4" s="1706"/>
      <c r="K4" s="1706"/>
      <c r="L4" s="1706"/>
      <c r="M4" s="1706"/>
      <c r="N4" s="1706"/>
      <c r="O4" s="1706"/>
      <c r="P4" s="1706"/>
      <c r="Q4" s="1706"/>
      <c r="R4" s="1706"/>
      <c r="S4" s="1706"/>
      <c r="T4" s="1706"/>
      <c r="U4" s="1706"/>
      <c r="V4" s="1706"/>
      <c r="W4" s="1706"/>
      <c r="X4" s="1706"/>
      <c r="Y4" s="1706"/>
      <c r="Z4" s="1707"/>
      <c r="AA4" s="111"/>
      <c r="AB4" s="111"/>
      <c r="AC4" s="111"/>
      <c r="AD4" s="111"/>
      <c r="AQ4" s="110"/>
    </row>
    <row r="5" spans="1:47" s="114" customFormat="1" ht="27.75" customHeight="1" x14ac:dyDescent="0.25">
      <c r="A5" s="1692" t="s">
        <v>2</v>
      </c>
      <c r="B5" s="1693"/>
      <c r="C5" s="1693"/>
      <c r="D5" s="1693"/>
      <c r="E5" s="1693"/>
      <c r="F5" s="1694"/>
      <c r="G5" s="415"/>
      <c r="H5" s="1708" t="s">
        <v>187</v>
      </c>
      <c r="I5" s="1709"/>
      <c r="J5" s="1709"/>
      <c r="K5" s="1709"/>
      <c r="L5" s="1709"/>
      <c r="M5" s="1709"/>
      <c r="N5" s="1709"/>
      <c r="O5" s="1709"/>
      <c r="P5" s="1709"/>
      <c r="Q5" s="1709"/>
      <c r="R5" s="1709"/>
      <c r="S5" s="1709"/>
      <c r="T5" s="1709"/>
      <c r="U5" s="1710"/>
      <c r="V5" s="1708" t="s">
        <v>4</v>
      </c>
      <c r="W5" s="1709"/>
      <c r="X5" s="1711" t="str">
        <f>IF(ISERROR(VLOOKUP($H$5,$F$97:$L$111,6,0))," ",VLOOKUP($H$5,$F$97:$L$111,6,0))</f>
        <v>I Direccionamiento y Control</v>
      </c>
      <c r="Y5" s="1711"/>
      <c r="Z5" s="1712"/>
      <c r="AA5" s="112"/>
      <c r="AB5" s="106"/>
      <c r="AC5" s="106"/>
      <c r="AD5" s="108"/>
      <c r="AE5" s="113"/>
      <c r="AF5" s="446"/>
      <c r="AG5" s="446"/>
      <c r="AH5" s="106"/>
      <c r="AI5" s="1265"/>
      <c r="AJ5" s="1265"/>
      <c r="AQ5" s="115"/>
    </row>
    <row r="6" spans="1:47" s="114" customFormat="1" ht="27.75" customHeight="1" x14ac:dyDescent="0.25">
      <c r="A6" s="1692" t="s">
        <v>5</v>
      </c>
      <c r="B6" s="1693"/>
      <c r="C6" s="1693"/>
      <c r="D6" s="1693"/>
      <c r="E6" s="1693"/>
      <c r="F6" s="1694"/>
      <c r="G6" s="415"/>
      <c r="H6" s="1695"/>
      <c r="I6" s="1696"/>
      <c r="J6" s="1696"/>
      <c r="K6" s="1696"/>
      <c r="L6" s="1696"/>
      <c r="M6" s="1696"/>
      <c r="N6" s="1696"/>
      <c r="O6" s="1696"/>
      <c r="P6" s="1696"/>
      <c r="Q6" s="1696"/>
      <c r="R6" s="1696"/>
      <c r="S6" s="1696"/>
      <c r="T6" s="1696"/>
      <c r="U6" s="1696"/>
      <c r="V6" s="1696"/>
      <c r="W6" s="1696"/>
      <c r="X6" s="1696"/>
      <c r="Y6" s="1696"/>
      <c r="Z6" s="1697"/>
      <c r="AA6" s="106"/>
      <c r="AB6" s="106"/>
      <c r="AC6" s="116"/>
      <c r="AD6" s="108"/>
      <c r="AE6" s="113"/>
      <c r="AF6" s="507"/>
      <c r="AG6" s="507"/>
      <c r="AH6" s="111"/>
      <c r="AI6" s="507"/>
      <c r="AJ6" s="507"/>
      <c r="AK6" s="111"/>
      <c r="AL6" s="111"/>
      <c r="AM6" s="111"/>
      <c r="AN6" s="111"/>
      <c r="AO6" s="111"/>
      <c r="AP6" s="111"/>
      <c r="AQ6" s="117"/>
      <c r="AR6" s="111"/>
      <c r="AS6" s="111"/>
      <c r="AT6" s="111"/>
      <c r="AU6" s="111"/>
    </row>
    <row r="7" spans="1:47" s="114" customFormat="1" ht="27.75" customHeight="1" thickBot="1" x14ac:dyDescent="0.3">
      <c r="A7" s="1698" t="s">
        <v>6</v>
      </c>
      <c r="B7" s="1699"/>
      <c r="C7" s="1699"/>
      <c r="D7" s="1699"/>
      <c r="E7" s="1699"/>
      <c r="F7" s="1700"/>
      <c r="G7" s="416"/>
      <c r="H7" s="1701" t="s">
        <v>237</v>
      </c>
      <c r="I7" s="1702"/>
      <c r="J7" s="1702"/>
      <c r="K7" s="1702"/>
      <c r="L7" s="1702"/>
      <c r="M7" s="1702"/>
      <c r="N7" s="1702"/>
      <c r="O7" s="1702"/>
      <c r="P7" s="1702"/>
      <c r="Q7" s="1702"/>
      <c r="R7" s="1702"/>
      <c r="S7" s="1702"/>
      <c r="T7" s="1702"/>
      <c r="U7" s="1702"/>
      <c r="V7" s="1703" t="s">
        <v>7</v>
      </c>
      <c r="W7" s="1704"/>
      <c r="X7" s="1704"/>
      <c r="Y7" s="1704"/>
      <c r="Z7" s="119">
        <f>SUM(Z11:Z25)</f>
        <v>3.326264329378926</v>
      </c>
      <c r="AA7" s="106"/>
      <c r="AB7" s="106"/>
      <c r="AC7" s="106"/>
      <c r="AD7" s="106"/>
      <c r="AF7" s="446"/>
      <c r="AG7" s="446"/>
      <c r="AH7" s="106"/>
      <c r="AI7" s="1265"/>
      <c r="AJ7" s="1265"/>
      <c r="AQ7" s="115"/>
    </row>
    <row r="8" spans="1:47" s="114" customFormat="1" ht="26.25" customHeight="1" thickBot="1" x14ac:dyDescent="0.3">
      <c r="A8" s="1751" t="s">
        <v>8</v>
      </c>
      <c r="B8" s="1748" t="s">
        <v>9</v>
      </c>
      <c r="C8" s="1767" t="s">
        <v>10</v>
      </c>
      <c r="D8" s="1748" t="s">
        <v>289</v>
      </c>
      <c r="E8" s="1748" t="s">
        <v>271</v>
      </c>
      <c r="F8" s="1760" t="s">
        <v>253</v>
      </c>
      <c r="G8" s="1770" t="s">
        <v>228</v>
      </c>
      <c r="H8" s="1763" t="s">
        <v>296</v>
      </c>
      <c r="I8" s="1760" t="s">
        <v>12</v>
      </c>
      <c r="J8" s="1754" t="s">
        <v>13</v>
      </c>
      <c r="K8" s="1757" t="s">
        <v>14</v>
      </c>
      <c r="L8" s="1758"/>
      <c r="M8" s="1758"/>
      <c r="N8" s="1758"/>
      <c r="O8" s="1758"/>
      <c r="P8" s="1758"/>
      <c r="Q8" s="1758"/>
      <c r="R8" s="1758"/>
      <c r="S8" s="1758"/>
      <c r="T8" s="1758"/>
      <c r="U8" s="1758"/>
      <c r="V8" s="1758"/>
      <c r="W8" s="1758"/>
      <c r="X8" s="1758"/>
      <c r="Y8" s="1759"/>
      <c r="Z8" s="1742" t="s">
        <v>15</v>
      </c>
      <c r="AA8" s="1745" t="s">
        <v>16</v>
      </c>
      <c r="AB8" s="1746"/>
      <c r="AC8" s="1746"/>
      <c r="AD8" s="1747"/>
      <c r="AE8" s="1731" t="s">
        <v>17</v>
      </c>
      <c r="AF8" s="1730" t="s">
        <v>18</v>
      </c>
      <c r="AG8" s="1718"/>
      <c r="AH8" s="1719"/>
      <c r="AI8" s="1730" t="s">
        <v>19</v>
      </c>
      <c r="AJ8" s="1718"/>
      <c r="AK8" s="1719"/>
      <c r="AL8" s="1730" t="s">
        <v>20</v>
      </c>
      <c r="AM8" s="1718"/>
      <c r="AN8" s="1719"/>
      <c r="AO8" s="1730" t="s">
        <v>21</v>
      </c>
      <c r="AP8" s="1718"/>
      <c r="AQ8" s="1719"/>
    </row>
    <row r="9" spans="1:47" s="114" customFormat="1" ht="15.75" customHeight="1" x14ac:dyDescent="0.25">
      <c r="A9" s="1752"/>
      <c r="B9" s="1749"/>
      <c r="C9" s="1768"/>
      <c r="D9" s="1749"/>
      <c r="E9" s="1749"/>
      <c r="F9" s="1761"/>
      <c r="G9" s="1771"/>
      <c r="H9" s="1764"/>
      <c r="I9" s="1761"/>
      <c r="J9" s="1755"/>
      <c r="K9" s="1738" t="s">
        <v>22</v>
      </c>
      <c r="L9" s="1736"/>
      <c r="M9" s="1739"/>
      <c r="N9" s="1727" t="s">
        <v>23</v>
      </c>
      <c r="O9" s="1736"/>
      <c r="P9" s="1737"/>
      <c r="Q9" s="1738" t="s">
        <v>24</v>
      </c>
      <c r="R9" s="1736"/>
      <c r="S9" s="1739"/>
      <c r="T9" s="1727" t="s">
        <v>25</v>
      </c>
      <c r="U9" s="1736"/>
      <c r="V9" s="1737"/>
      <c r="W9" s="1738" t="s">
        <v>26</v>
      </c>
      <c r="X9" s="1736"/>
      <c r="Y9" s="1739"/>
      <c r="Z9" s="1743"/>
      <c r="AA9" s="1740" t="s">
        <v>27</v>
      </c>
      <c r="AB9" s="1737" t="s">
        <v>28</v>
      </c>
      <c r="AC9" s="1727"/>
      <c r="AD9" s="1734" t="s">
        <v>29</v>
      </c>
      <c r="AE9" s="1732"/>
      <c r="AF9" s="1726" t="s">
        <v>30</v>
      </c>
      <c r="AG9" s="1727"/>
      <c r="AH9" s="1728" t="s">
        <v>31</v>
      </c>
      <c r="AI9" s="1726" t="s">
        <v>30</v>
      </c>
      <c r="AJ9" s="1727"/>
      <c r="AK9" s="1728" t="s">
        <v>31</v>
      </c>
      <c r="AL9" s="1726" t="s">
        <v>30</v>
      </c>
      <c r="AM9" s="1727"/>
      <c r="AN9" s="1728" t="s">
        <v>31</v>
      </c>
      <c r="AO9" s="1726" t="s">
        <v>30</v>
      </c>
      <c r="AP9" s="1727"/>
      <c r="AQ9" s="1728" t="s">
        <v>31</v>
      </c>
    </row>
    <row r="10" spans="1:47" s="114" customFormat="1" ht="24.75" customHeight="1" thickBot="1" x14ac:dyDescent="0.3">
      <c r="A10" s="1753"/>
      <c r="B10" s="1750"/>
      <c r="C10" s="1769"/>
      <c r="D10" s="1750"/>
      <c r="E10" s="1750"/>
      <c r="F10" s="1762"/>
      <c r="G10" s="1772"/>
      <c r="H10" s="1765"/>
      <c r="I10" s="1766"/>
      <c r="J10" s="1756"/>
      <c r="K10" s="571" t="s">
        <v>32</v>
      </c>
      <c r="L10" s="126" t="s">
        <v>33</v>
      </c>
      <c r="M10" s="605" t="s">
        <v>34</v>
      </c>
      <c r="N10" s="609" t="s">
        <v>32</v>
      </c>
      <c r="O10" s="126" t="s">
        <v>33</v>
      </c>
      <c r="P10" s="610" t="s">
        <v>34</v>
      </c>
      <c r="Q10" s="571" t="s">
        <v>32</v>
      </c>
      <c r="R10" s="126" t="s">
        <v>33</v>
      </c>
      <c r="S10" s="605" t="s">
        <v>34</v>
      </c>
      <c r="T10" s="609" t="s">
        <v>32</v>
      </c>
      <c r="U10" s="126" t="s">
        <v>33</v>
      </c>
      <c r="V10" s="610" t="s">
        <v>34</v>
      </c>
      <c r="W10" s="1204" t="s">
        <v>35</v>
      </c>
      <c r="X10" s="126" t="s">
        <v>36</v>
      </c>
      <c r="Y10" s="224" t="s">
        <v>34</v>
      </c>
      <c r="Z10" s="1744"/>
      <c r="AA10" s="1741"/>
      <c r="AB10" s="428" t="s">
        <v>37</v>
      </c>
      <c r="AC10" s="428" t="s">
        <v>38</v>
      </c>
      <c r="AD10" s="1735"/>
      <c r="AE10" s="1733"/>
      <c r="AF10" s="449" t="s">
        <v>37</v>
      </c>
      <c r="AG10" s="450" t="s">
        <v>38</v>
      </c>
      <c r="AH10" s="1729"/>
      <c r="AI10" s="1204" t="s">
        <v>37</v>
      </c>
      <c r="AJ10" s="126" t="s">
        <v>38</v>
      </c>
      <c r="AK10" s="1728"/>
      <c r="AL10" s="421" t="s">
        <v>37</v>
      </c>
      <c r="AM10" s="428" t="s">
        <v>38</v>
      </c>
      <c r="AN10" s="1729"/>
      <c r="AO10" s="421" t="s">
        <v>37</v>
      </c>
      <c r="AP10" s="428" t="s">
        <v>38</v>
      </c>
      <c r="AQ10" s="1729"/>
    </row>
    <row r="11" spans="1:47" s="114" customFormat="1" ht="83.25" customHeight="1" x14ac:dyDescent="0.25">
      <c r="A11" s="1678" t="s">
        <v>593</v>
      </c>
      <c r="B11" s="1668">
        <v>10</v>
      </c>
      <c r="C11" s="1668" t="s">
        <v>302</v>
      </c>
      <c r="D11" s="1671">
        <v>0.2</v>
      </c>
      <c r="E11" s="842" t="s">
        <v>563</v>
      </c>
      <c r="F11" s="679" t="s">
        <v>794</v>
      </c>
      <c r="G11" s="321">
        <v>4237</v>
      </c>
      <c r="H11" s="424">
        <v>0.25</v>
      </c>
      <c r="I11" s="424" t="s">
        <v>42</v>
      </c>
      <c r="J11" s="213" t="s">
        <v>40</v>
      </c>
      <c r="K11" s="569">
        <v>890</v>
      </c>
      <c r="L11" s="495">
        <f t="shared" ref="L11" si="0">IF(I11="Cantidad",AF11,IF(ISERROR(AF11/AG11),0,AF11/AG11))</f>
        <v>602</v>
      </c>
      <c r="M11" s="606">
        <f>IF(ISERROR(L11/K11),0,(L11/K11))</f>
        <v>0.67640449438202244</v>
      </c>
      <c r="N11" s="569">
        <v>1270</v>
      </c>
      <c r="O11" s="788">
        <f>IF(I11="Cantidad",AI11,IF(ISERROR(AI11/AJ11),0,AI11/AJ11))</f>
        <v>869</v>
      </c>
      <c r="P11" s="606">
        <f>IF(ISERROR(O11/N11),0,(O11/N11))</f>
        <v>0.68425196850393699</v>
      </c>
      <c r="Q11" s="569">
        <f>887+313</f>
        <v>1200</v>
      </c>
      <c r="R11" s="1212">
        <f>IF(I11="Cantidad",AL11,IF(ISERROR(AL11/AM11),0,AL11/AM11))</f>
        <v>802</v>
      </c>
      <c r="S11" s="606">
        <f>IF(ISERROR(R11/Q11),0,(R11/Q11))</f>
        <v>0.66833333333333333</v>
      </c>
      <c r="T11" s="569">
        <f>781+303</f>
        <v>1084</v>
      </c>
      <c r="U11" s="1212">
        <f>IF(I11="Cantidad",AO11,IF(ISERROR(AO11/AP11),0,AO11/AP11))</f>
        <v>0</v>
      </c>
      <c r="V11" s="606">
        <f>IF(ISERROR(U11/T11),0,(U11/T11))</f>
        <v>0</v>
      </c>
      <c r="W11" s="129">
        <f>IF(J11="SUMA",(K11+N11+Q11+T11),(K11))</f>
        <v>4444</v>
      </c>
      <c r="X11" s="1212">
        <f>IF(ISERROR(AVERAGE(L11,O11,R11,U11)),0,IF(J11="Suma",(L11+O11+R11+U11),AVERAGE(L11,O11,R11,U11)))</f>
        <v>2273</v>
      </c>
      <c r="Y11" s="128">
        <f>IF(ISERROR(X11/W11),0,(X11/W11))</f>
        <v>0.51147614761476146</v>
      </c>
      <c r="Z11" s="130">
        <f>+Y11*H11</f>
        <v>0.12786903690369036</v>
      </c>
      <c r="AA11" s="131" t="s">
        <v>326</v>
      </c>
      <c r="AB11" s="417" t="s">
        <v>388</v>
      </c>
      <c r="AC11" s="417" t="s">
        <v>435</v>
      </c>
      <c r="AD11" s="132" t="s">
        <v>43</v>
      </c>
      <c r="AE11" s="133" t="s">
        <v>389</v>
      </c>
      <c r="AF11" s="444">
        <v>602</v>
      </c>
      <c r="AG11" s="315">
        <f>+K11</f>
        <v>890</v>
      </c>
      <c r="AH11" s="1258"/>
      <c r="AI11" s="1215">
        <v>869</v>
      </c>
      <c r="AJ11" s="136">
        <v>1270</v>
      </c>
      <c r="AK11" s="137"/>
      <c r="AL11" s="1262">
        <v>802</v>
      </c>
      <c r="AM11" s="136">
        <v>1200</v>
      </c>
      <c r="AN11" s="138"/>
      <c r="AO11" s="135"/>
      <c r="AP11" s="136"/>
      <c r="AQ11" s="138"/>
    </row>
    <row r="12" spans="1:47" s="114" customFormat="1" ht="78.75" customHeight="1" x14ac:dyDescent="0.25">
      <c r="A12" s="1679"/>
      <c r="B12" s="1669"/>
      <c r="C12" s="1669"/>
      <c r="D12" s="1672"/>
      <c r="E12" s="843" t="s">
        <v>631</v>
      </c>
      <c r="F12" s="594" t="s">
        <v>795</v>
      </c>
      <c r="G12" s="410">
        <v>823</v>
      </c>
      <c r="H12" s="427">
        <v>0.25</v>
      </c>
      <c r="I12" s="425" t="s">
        <v>42</v>
      </c>
      <c r="J12" s="214" t="s">
        <v>40</v>
      </c>
      <c r="K12" s="570">
        <v>235</v>
      </c>
      <c r="L12" s="481">
        <f>IF(I12="Cantidad",AF12,IF(ISERROR(AF12/AG12),0,AF12/AG12))</f>
        <v>196</v>
      </c>
      <c r="M12" s="607">
        <f>IF(ISERROR(L12/K12),0,(L12/K12))</f>
        <v>0.83404255319148934</v>
      </c>
      <c r="N12" s="580">
        <v>255</v>
      </c>
      <c r="O12" s="762">
        <f t="shared" ref="O12:O16" si="1">IF(I12="Cantidad",AI12,IF(ISERROR(AI12/AJ12),0,AI12/AJ12))</f>
        <v>363</v>
      </c>
      <c r="P12" s="607">
        <f>IF(ISERROR(O12/N12),0,(O12/N12))</f>
        <v>1.4235294117647059</v>
      </c>
      <c r="Q12" s="580">
        <f>255+383</f>
        <v>638</v>
      </c>
      <c r="R12" s="1211">
        <f>IF(I12="Cantidad",AL12,IF(ISERROR(AL12/AM12),0,AL12/AM12))</f>
        <v>765</v>
      </c>
      <c r="S12" s="607">
        <f>IF(ISERROR(R12/Q12),0,(R12/Q12))</f>
        <v>1.1990595611285266</v>
      </c>
      <c r="T12" s="580">
        <f>255+382</f>
        <v>637</v>
      </c>
      <c r="U12" s="1211">
        <f>IF(I12="Cantidad",AO12,IF(ISERROR(AO12/AP12),0,AO12/AP12))</f>
        <v>0</v>
      </c>
      <c r="V12" s="607">
        <f>IF(ISERROR(U12/T12),0,(U12/T12))</f>
        <v>0</v>
      </c>
      <c r="W12" s="199">
        <f>IF(J12="SUMA",(K12+N12+Q12+T12),(K12))</f>
        <v>1765</v>
      </c>
      <c r="X12" s="1211">
        <f>IF(ISERROR(AVERAGE(L12,O12,R12,U12)),0,IF(J12="Suma",(L12+O12+R12+U12),AVERAGE(L12,O12,R12,U12)))</f>
        <v>1324</v>
      </c>
      <c r="Y12" s="190">
        <f>IF(ISERROR(X12/W12),0,(X12/W12))</f>
        <v>0.75014164305949005</v>
      </c>
      <c r="Z12" s="191">
        <f>+Y12*H12</f>
        <v>0.18753541076487251</v>
      </c>
      <c r="AA12" s="192" t="s">
        <v>243</v>
      </c>
      <c r="AB12" s="418" t="s">
        <v>465</v>
      </c>
      <c r="AC12" s="418" t="s">
        <v>466</v>
      </c>
      <c r="AD12" s="193" t="s">
        <v>43</v>
      </c>
      <c r="AE12" s="194" t="s">
        <v>390</v>
      </c>
      <c r="AF12" s="448">
        <v>196</v>
      </c>
      <c r="AG12" s="532">
        <f t="shared" ref="AG12:AG16" si="2">+K12</f>
        <v>235</v>
      </c>
      <c r="AH12" s="1259"/>
      <c r="AI12" s="1203">
        <v>363</v>
      </c>
      <c r="AJ12" s="1255">
        <v>255</v>
      </c>
      <c r="AK12" s="200"/>
      <c r="AL12" s="1378">
        <v>765</v>
      </c>
      <c r="AM12" s="1361">
        <v>638</v>
      </c>
      <c r="AN12" s="198"/>
      <c r="AO12" s="196"/>
      <c r="AP12" s="156"/>
      <c r="AQ12" s="198"/>
    </row>
    <row r="13" spans="1:47" s="114" customFormat="1" ht="66" customHeight="1" x14ac:dyDescent="0.25">
      <c r="A13" s="1679"/>
      <c r="B13" s="1669"/>
      <c r="C13" s="1669"/>
      <c r="D13" s="1672"/>
      <c r="E13" s="843" t="s">
        <v>632</v>
      </c>
      <c r="F13" s="594" t="s">
        <v>791</v>
      </c>
      <c r="G13" s="322">
        <v>737</v>
      </c>
      <c r="H13" s="425">
        <v>0.15</v>
      </c>
      <c r="I13" s="210" t="s">
        <v>42</v>
      </c>
      <c r="J13" s="215" t="s">
        <v>40</v>
      </c>
      <c r="K13" s="570">
        <v>178</v>
      </c>
      <c r="L13" s="481">
        <f t="shared" ref="L13:L27" si="3">IF(I13="Cantidad",AF13,IF(ISERROR(AF13/AG13),0,AF13/AG13))</f>
        <v>109</v>
      </c>
      <c r="M13" s="607">
        <f t="shared" ref="M13:M27" si="4">IF(ISERROR(L13/K13),0,(L13/K13))</f>
        <v>0.61235955056179781</v>
      </c>
      <c r="N13" s="580">
        <v>180</v>
      </c>
      <c r="O13" s="762">
        <f t="shared" si="1"/>
        <v>172</v>
      </c>
      <c r="P13" s="607">
        <f t="shared" ref="P13:P27" si="5">IF(ISERROR(O13/N13),0,(O13/N13))</f>
        <v>0.9555555555555556</v>
      </c>
      <c r="Q13" s="580">
        <f>180+2127</f>
        <v>2307</v>
      </c>
      <c r="R13" s="1211">
        <f t="shared" ref="R13:R27" si="6">IF(I13="Cantidad",AL13,IF(ISERROR(AL13/AM13),0,AL13/AM13))</f>
        <v>3433</v>
      </c>
      <c r="S13" s="607">
        <f t="shared" ref="S13:S27" si="7">IF(ISERROR(R13/Q13),0,(R13/Q13))</f>
        <v>1.4880797572605116</v>
      </c>
      <c r="T13" s="580">
        <f>162+2128</f>
        <v>2290</v>
      </c>
      <c r="U13" s="1211">
        <f t="shared" ref="U13:U27" si="8">IF(I13="Cantidad",AO13,IF(ISERROR(AO13/AP13),0,AO13/AP13))</f>
        <v>0</v>
      </c>
      <c r="V13" s="607">
        <f t="shared" ref="V13:V27" si="9">IF(ISERROR(U13/T13),0,(U13/T13))</f>
        <v>0</v>
      </c>
      <c r="W13" s="199">
        <f t="shared" ref="W13:W27" si="10">IF(J13="SUMA",(K13+N13+Q13+T13),(K13))</f>
        <v>4955</v>
      </c>
      <c r="X13" s="1211">
        <f t="shared" ref="X13:X27" si="11">IF(ISERROR(AVERAGE(L13,O13,R13,U13)),0,IF(J13="Suma",(L13+O13+R13+U13),AVERAGE(L13,O13,R13,U13)))</f>
        <v>3714</v>
      </c>
      <c r="Y13" s="190">
        <f t="shared" ref="Y13:Y27" si="12">IF(ISERROR(X13/W13),0,(X13/W13))</f>
        <v>0.74954591321897068</v>
      </c>
      <c r="Z13" s="191">
        <f t="shared" ref="Z13:Z27" si="13">+Y13*H13</f>
        <v>0.11243188698284559</v>
      </c>
      <c r="AA13" s="146" t="s">
        <v>244</v>
      </c>
      <c r="AB13" s="420" t="s">
        <v>328</v>
      </c>
      <c r="AC13" s="420" t="s">
        <v>467</v>
      </c>
      <c r="AD13" s="148" t="s">
        <v>43</v>
      </c>
      <c r="AE13" s="194" t="s">
        <v>390</v>
      </c>
      <c r="AF13" s="216">
        <v>109</v>
      </c>
      <c r="AG13" s="532">
        <f t="shared" si="2"/>
        <v>178</v>
      </c>
      <c r="AH13" s="1260"/>
      <c r="AI13" s="1203">
        <v>172</v>
      </c>
      <c r="AJ13" s="1255">
        <v>180</v>
      </c>
      <c r="AK13" s="200"/>
      <c r="AL13" s="1379">
        <v>3433</v>
      </c>
      <c r="AM13" s="1362">
        <v>2307</v>
      </c>
      <c r="AN13" s="154"/>
      <c r="AO13" s="151"/>
      <c r="AP13" s="152"/>
      <c r="AQ13" s="154"/>
    </row>
    <row r="14" spans="1:47" s="114" customFormat="1" ht="82.5" customHeight="1" x14ac:dyDescent="0.25">
      <c r="A14" s="1679"/>
      <c r="B14" s="1669"/>
      <c r="C14" s="1669"/>
      <c r="D14" s="1672"/>
      <c r="E14" s="843" t="s">
        <v>753</v>
      </c>
      <c r="F14" s="594" t="s">
        <v>792</v>
      </c>
      <c r="G14" s="323">
        <v>974</v>
      </c>
      <c r="H14" s="425">
        <v>0.1</v>
      </c>
      <c r="I14" s="210" t="s">
        <v>42</v>
      </c>
      <c r="J14" s="215" t="s">
        <v>40</v>
      </c>
      <c r="K14" s="570">
        <v>387</v>
      </c>
      <c r="L14" s="481">
        <f t="shared" si="3"/>
        <v>232</v>
      </c>
      <c r="M14" s="607">
        <f t="shared" si="4"/>
        <v>0.59948320413436695</v>
      </c>
      <c r="N14" s="580">
        <v>393</v>
      </c>
      <c r="O14" s="762">
        <f t="shared" si="1"/>
        <v>242</v>
      </c>
      <c r="P14" s="607">
        <f t="shared" si="5"/>
        <v>0.61577608142493634</v>
      </c>
      <c r="Q14" s="580">
        <v>103</v>
      </c>
      <c r="R14" s="1211">
        <f t="shared" si="6"/>
        <v>266</v>
      </c>
      <c r="S14" s="607">
        <f t="shared" si="7"/>
        <v>2.5825242718446604</v>
      </c>
      <c r="T14" s="580">
        <v>103</v>
      </c>
      <c r="U14" s="1211">
        <f t="shared" si="8"/>
        <v>0</v>
      </c>
      <c r="V14" s="607">
        <f t="shared" si="9"/>
        <v>0</v>
      </c>
      <c r="W14" s="199">
        <f t="shared" si="10"/>
        <v>986</v>
      </c>
      <c r="X14" s="1211">
        <f t="shared" si="11"/>
        <v>740</v>
      </c>
      <c r="Y14" s="190">
        <f t="shared" si="12"/>
        <v>0.75050709939148075</v>
      </c>
      <c r="Z14" s="191">
        <f t="shared" si="13"/>
        <v>7.5050709939148086E-2</v>
      </c>
      <c r="AA14" s="146" t="s">
        <v>245</v>
      </c>
      <c r="AB14" s="420" t="s">
        <v>468</v>
      </c>
      <c r="AC14" s="420" t="s">
        <v>469</v>
      </c>
      <c r="AD14" s="148" t="s">
        <v>43</v>
      </c>
      <c r="AE14" s="149" t="s">
        <v>391</v>
      </c>
      <c r="AF14" s="216">
        <v>232</v>
      </c>
      <c r="AG14" s="532">
        <f t="shared" si="2"/>
        <v>387</v>
      </c>
      <c r="AH14" s="1260"/>
      <c r="AI14" s="1203">
        <v>242</v>
      </c>
      <c r="AJ14" s="1255">
        <v>393</v>
      </c>
      <c r="AK14" s="200"/>
      <c r="AL14" s="1379">
        <v>266</v>
      </c>
      <c r="AM14" s="1362">
        <v>103</v>
      </c>
      <c r="AN14" s="154"/>
      <c r="AO14" s="151"/>
      <c r="AP14" s="152"/>
      <c r="AQ14" s="154"/>
    </row>
    <row r="15" spans="1:47" s="114" customFormat="1" ht="51" customHeight="1" x14ac:dyDescent="0.25">
      <c r="A15" s="1679"/>
      <c r="B15" s="1669"/>
      <c r="C15" s="1669"/>
      <c r="D15" s="1672"/>
      <c r="E15" s="843" t="s">
        <v>754</v>
      </c>
      <c r="F15" s="594" t="s">
        <v>458</v>
      </c>
      <c r="G15" s="324">
        <v>60</v>
      </c>
      <c r="H15" s="210">
        <v>0.05</v>
      </c>
      <c r="I15" s="210" t="s">
        <v>42</v>
      </c>
      <c r="J15" s="215" t="s">
        <v>40</v>
      </c>
      <c r="K15" s="570">
        <v>29</v>
      </c>
      <c r="L15" s="481">
        <f t="shared" si="3"/>
        <v>24</v>
      </c>
      <c r="M15" s="607">
        <f t="shared" si="4"/>
        <v>0.82758620689655171</v>
      </c>
      <c r="N15" s="580">
        <v>27</v>
      </c>
      <c r="O15" s="762">
        <f t="shared" si="1"/>
        <v>32</v>
      </c>
      <c r="P15" s="607">
        <f t="shared" si="5"/>
        <v>1.1851851851851851</v>
      </c>
      <c r="Q15" s="580">
        <v>27</v>
      </c>
      <c r="R15" s="1211">
        <f t="shared" si="6"/>
        <v>0</v>
      </c>
      <c r="S15" s="607">
        <f t="shared" si="7"/>
        <v>0</v>
      </c>
      <c r="T15" s="580">
        <v>27</v>
      </c>
      <c r="U15" s="1211">
        <f t="shared" si="8"/>
        <v>0</v>
      </c>
      <c r="V15" s="607">
        <f t="shared" si="9"/>
        <v>0</v>
      </c>
      <c r="W15" s="199">
        <f t="shared" si="10"/>
        <v>110</v>
      </c>
      <c r="X15" s="1211">
        <f t="shared" si="11"/>
        <v>56</v>
      </c>
      <c r="Y15" s="190">
        <f t="shared" si="12"/>
        <v>0.50909090909090904</v>
      </c>
      <c r="Z15" s="191">
        <f t="shared" si="13"/>
        <v>2.5454545454545452E-2</v>
      </c>
      <c r="AA15" s="146" t="s">
        <v>329</v>
      </c>
      <c r="AB15" s="420" t="s">
        <v>471</v>
      </c>
      <c r="AC15" s="420" t="s">
        <v>470</v>
      </c>
      <c r="AD15" s="148" t="s">
        <v>43</v>
      </c>
      <c r="AE15" s="149" t="s">
        <v>392</v>
      </c>
      <c r="AF15" s="216">
        <v>24</v>
      </c>
      <c r="AG15" s="532">
        <f t="shared" si="2"/>
        <v>29</v>
      </c>
      <c r="AH15" s="1260"/>
      <c r="AI15" s="1203">
        <v>32</v>
      </c>
      <c r="AJ15" s="1255">
        <v>27</v>
      </c>
      <c r="AK15" s="200"/>
      <c r="AL15" s="1379">
        <v>0</v>
      </c>
      <c r="AM15" s="1362">
        <v>27</v>
      </c>
      <c r="AN15" s="154"/>
      <c r="AO15" s="151"/>
      <c r="AP15" s="152"/>
      <c r="AQ15" s="154"/>
    </row>
    <row r="16" spans="1:47" s="114" customFormat="1" ht="76.5" customHeight="1" thickBot="1" x14ac:dyDescent="0.3">
      <c r="A16" s="1680"/>
      <c r="B16" s="1670"/>
      <c r="C16" s="1670"/>
      <c r="D16" s="1673"/>
      <c r="E16" s="611" t="s">
        <v>755</v>
      </c>
      <c r="F16" s="625" t="s">
        <v>793</v>
      </c>
      <c r="G16" s="626">
        <v>13762</v>
      </c>
      <c r="H16" s="210">
        <v>0.2</v>
      </c>
      <c r="I16" s="210" t="s">
        <v>42</v>
      </c>
      <c r="J16" s="215" t="s">
        <v>40</v>
      </c>
      <c r="K16" s="571">
        <v>1133</v>
      </c>
      <c r="L16" s="126">
        <f t="shared" si="3"/>
        <v>464</v>
      </c>
      <c r="M16" s="612">
        <f t="shared" si="4"/>
        <v>0.4095322153574581</v>
      </c>
      <c r="N16" s="581">
        <v>2745</v>
      </c>
      <c r="O16" s="790">
        <f t="shared" si="1"/>
        <v>561</v>
      </c>
      <c r="P16" s="608">
        <f t="shared" si="5"/>
        <v>0.20437158469945355</v>
      </c>
      <c r="Q16" s="581">
        <v>518</v>
      </c>
      <c r="R16" s="486">
        <f t="shared" si="6"/>
        <v>1980</v>
      </c>
      <c r="S16" s="608">
        <f t="shared" si="7"/>
        <v>3.8223938223938223</v>
      </c>
      <c r="T16" s="581">
        <v>518</v>
      </c>
      <c r="U16" s="486">
        <f t="shared" si="8"/>
        <v>0</v>
      </c>
      <c r="V16" s="608">
        <f t="shared" si="9"/>
        <v>0</v>
      </c>
      <c r="W16" s="159">
        <f t="shared" si="10"/>
        <v>4914</v>
      </c>
      <c r="X16" s="486">
        <f t="shared" si="11"/>
        <v>3005</v>
      </c>
      <c r="Y16" s="158">
        <f t="shared" si="12"/>
        <v>0.61151811151811153</v>
      </c>
      <c r="Z16" s="145">
        <f t="shared" si="13"/>
        <v>0.12230362230362231</v>
      </c>
      <c r="AA16" s="161" t="s">
        <v>246</v>
      </c>
      <c r="AB16" s="419" t="s">
        <v>330</v>
      </c>
      <c r="AC16" s="419" t="s">
        <v>472</v>
      </c>
      <c r="AD16" s="162" t="s">
        <v>43</v>
      </c>
      <c r="AE16" s="163" t="s">
        <v>393</v>
      </c>
      <c r="AF16" s="449">
        <v>464</v>
      </c>
      <c r="AG16" s="542">
        <f t="shared" si="2"/>
        <v>1133</v>
      </c>
      <c r="AH16" s="1261"/>
      <c r="AI16" s="1210">
        <v>561</v>
      </c>
      <c r="AJ16" s="1264">
        <v>2745</v>
      </c>
      <c r="AK16" s="206"/>
      <c r="AL16" s="1270">
        <v>1980</v>
      </c>
      <c r="AM16" s="1269">
        <v>518</v>
      </c>
      <c r="AN16" s="168"/>
      <c r="AO16" s="165"/>
      <c r="AP16" s="166"/>
      <c r="AQ16" s="168"/>
    </row>
    <row r="17" spans="1:43" s="114" customFormat="1" ht="186" customHeight="1" thickBot="1" x14ac:dyDescent="0.3">
      <c r="A17" s="632" t="s">
        <v>594</v>
      </c>
      <c r="B17" s="633">
        <v>11</v>
      </c>
      <c r="C17" s="633" t="s">
        <v>304</v>
      </c>
      <c r="D17" s="837">
        <v>0.16</v>
      </c>
      <c r="E17" s="844" t="s">
        <v>565</v>
      </c>
      <c r="F17" s="845" t="s">
        <v>474</v>
      </c>
      <c r="G17" s="838">
        <v>7</v>
      </c>
      <c r="H17" s="635">
        <v>1</v>
      </c>
      <c r="I17" s="635" t="s">
        <v>42</v>
      </c>
      <c r="J17" s="636" t="s">
        <v>40</v>
      </c>
      <c r="K17" s="637">
        <v>1</v>
      </c>
      <c r="L17" s="634">
        <f t="shared" si="3"/>
        <v>4</v>
      </c>
      <c r="M17" s="638">
        <f t="shared" si="4"/>
        <v>4</v>
      </c>
      <c r="N17" s="1253">
        <v>3</v>
      </c>
      <c r="O17" s="170">
        <f t="shared" ref="O17:O27" si="14">IF(I17="Cantidad",AI17,IF(ISERROR(AI17/AJ17),0,AI17/AJ17))</f>
        <v>1</v>
      </c>
      <c r="P17" s="1254">
        <f t="shared" si="5"/>
        <v>0.33333333333333331</v>
      </c>
      <c r="Q17" s="1256">
        <v>3</v>
      </c>
      <c r="R17" s="170">
        <f t="shared" si="6"/>
        <v>2</v>
      </c>
      <c r="S17" s="1254">
        <f t="shared" si="7"/>
        <v>0.66666666666666663</v>
      </c>
      <c r="T17" s="1256">
        <v>2</v>
      </c>
      <c r="U17" s="170">
        <f t="shared" si="8"/>
        <v>0</v>
      </c>
      <c r="V17" s="1254">
        <f t="shared" si="9"/>
        <v>0</v>
      </c>
      <c r="W17" s="1257">
        <f t="shared" si="10"/>
        <v>9</v>
      </c>
      <c r="X17" s="170">
        <f t="shared" si="11"/>
        <v>7</v>
      </c>
      <c r="Y17" s="1254">
        <f t="shared" si="12"/>
        <v>0.77777777777777779</v>
      </c>
      <c r="Z17" s="640">
        <f t="shared" si="13"/>
        <v>0.77777777777777779</v>
      </c>
      <c r="AA17" s="433" t="s">
        <v>331</v>
      </c>
      <c r="AB17" s="315" t="s">
        <v>475</v>
      </c>
      <c r="AC17" s="315" t="s">
        <v>476</v>
      </c>
      <c r="AD17" s="219" t="s">
        <v>43</v>
      </c>
      <c r="AE17" s="208" t="s">
        <v>394</v>
      </c>
      <c r="AF17" s="447">
        <v>4</v>
      </c>
      <c r="AG17" s="508">
        <v>1</v>
      </c>
      <c r="AH17" s="220"/>
      <c r="AI17" s="851">
        <v>1</v>
      </c>
      <c r="AJ17" s="852">
        <v>3</v>
      </c>
      <c r="AK17" s="1263"/>
      <c r="AL17" s="434">
        <v>2</v>
      </c>
      <c r="AM17" s="435">
        <v>3</v>
      </c>
      <c r="AN17" s="222"/>
      <c r="AO17" s="434"/>
      <c r="AP17" s="435"/>
      <c r="AQ17" s="222"/>
    </row>
    <row r="18" spans="1:43" s="114" customFormat="1" ht="237.75" customHeight="1" thickBot="1" x14ac:dyDescent="0.3">
      <c r="A18" s="477" t="s">
        <v>593</v>
      </c>
      <c r="B18" s="482">
        <v>12</v>
      </c>
      <c r="C18" s="482" t="s">
        <v>272</v>
      </c>
      <c r="D18" s="641">
        <v>0.16</v>
      </c>
      <c r="E18" s="846" t="s">
        <v>567</v>
      </c>
      <c r="F18" s="847" t="s">
        <v>477</v>
      </c>
      <c r="G18" s="839">
        <v>104401</v>
      </c>
      <c r="H18" s="485">
        <v>0.2</v>
      </c>
      <c r="I18" s="485" t="s">
        <v>42</v>
      </c>
      <c r="J18" s="615" t="s">
        <v>40</v>
      </c>
      <c r="K18" s="627">
        <v>24623</v>
      </c>
      <c r="L18" s="140">
        <f t="shared" si="3"/>
        <v>2729</v>
      </c>
      <c r="M18" s="628">
        <f t="shared" si="4"/>
        <v>0.11083133655525322</v>
      </c>
      <c r="N18" s="629">
        <v>39416</v>
      </c>
      <c r="O18" s="140">
        <f t="shared" si="14"/>
        <v>26228</v>
      </c>
      <c r="P18" s="141">
        <f t="shared" si="5"/>
        <v>0.66541505987416283</v>
      </c>
      <c r="Q18" s="630">
        <v>47122</v>
      </c>
      <c r="R18" s="140">
        <f t="shared" si="6"/>
        <v>32622</v>
      </c>
      <c r="S18" s="141">
        <f t="shared" si="7"/>
        <v>0.6922881032214252</v>
      </c>
      <c r="T18" s="630">
        <v>41415</v>
      </c>
      <c r="U18" s="140">
        <f t="shared" si="8"/>
        <v>0</v>
      </c>
      <c r="V18" s="141">
        <f t="shared" si="9"/>
        <v>0</v>
      </c>
      <c r="W18" s="142">
        <f t="shared" si="10"/>
        <v>152576</v>
      </c>
      <c r="X18" s="140">
        <f t="shared" si="11"/>
        <v>61579</v>
      </c>
      <c r="Y18" s="141">
        <f t="shared" si="12"/>
        <v>0.40359558515100669</v>
      </c>
      <c r="Z18" s="631">
        <f t="shared" si="13"/>
        <v>8.0719117030201348E-2</v>
      </c>
      <c r="AA18" s="433" t="s">
        <v>247</v>
      </c>
      <c r="AB18" s="315" t="s">
        <v>332</v>
      </c>
      <c r="AC18" s="315" t="s">
        <v>333</v>
      </c>
      <c r="AD18" s="219" t="s">
        <v>43</v>
      </c>
      <c r="AE18" s="208" t="s">
        <v>395</v>
      </c>
      <c r="AF18" s="447">
        <v>2729</v>
      </c>
      <c r="AG18" s="508">
        <f>+K18</f>
        <v>24623</v>
      </c>
      <c r="AH18" s="220"/>
      <c r="AI18" s="1266">
        <v>26228</v>
      </c>
      <c r="AJ18" s="1267">
        <v>39416</v>
      </c>
      <c r="AK18" s="221"/>
      <c r="AL18" s="434">
        <v>32622</v>
      </c>
      <c r="AM18" s="435">
        <v>47122</v>
      </c>
      <c r="AN18" s="222"/>
      <c r="AO18" s="434"/>
      <c r="AP18" s="435"/>
      <c r="AQ18" s="222"/>
    </row>
    <row r="19" spans="1:43" s="114" customFormat="1" ht="81" customHeight="1" x14ac:dyDescent="0.25">
      <c r="A19" s="1665" t="s">
        <v>594</v>
      </c>
      <c r="B19" s="1675">
        <v>13</v>
      </c>
      <c r="C19" s="1668" t="s">
        <v>273</v>
      </c>
      <c r="D19" s="1671">
        <v>0.16</v>
      </c>
      <c r="E19" s="842" t="s">
        <v>569</v>
      </c>
      <c r="F19" s="596" t="s">
        <v>295</v>
      </c>
      <c r="G19" s="335">
        <v>2</v>
      </c>
      <c r="H19" s="223">
        <v>0.3</v>
      </c>
      <c r="I19" s="314" t="s">
        <v>42</v>
      </c>
      <c r="J19" s="218" t="s">
        <v>40</v>
      </c>
      <c r="K19" s="618">
        <v>0.24</v>
      </c>
      <c r="L19" s="480">
        <f t="shared" si="3"/>
        <v>0.24</v>
      </c>
      <c r="M19" s="606">
        <f t="shared" si="4"/>
        <v>1</v>
      </c>
      <c r="N19" s="618">
        <v>0.24</v>
      </c>
      <c r="O19" s="480">
        <f t="shared" si="14"/>
        <v>0.24</v>
      </c>
      <c r="P19" s="128">
        <f t="shared" si="5"/>
        <v>1</v>
      </c>
      <c r="Q19" s="603">
        <v>0.26</v>
      </c>
      <c r="R19" s="480">
        <f t="shared" si="6"/>
        <v>0.24</v>
      </c>
      <c r="S19" s="128">
        <f t="shared" si="7"/>
        <v>0.92307692307692302</v>
      </c>
      <c r="T19" s="572">
        <v>0.26</v>
      </c>
      <c r="U19" s="480">
        <f t="shared" si="8"/>
        <v>0</v>
      </c>
      <c r="V19" s="128">
        <f>IF(ISERROR(U19/T19),0,(U19/T19))</f>
        <v>0</v>
      </c>
      <c r="W19" s="129">
        <f>IF(J19="SUMA",(K19+N19+Q19+T19),(K19))</f>
        <v>1</v>
      </c>
      <c r="X19" s="480">
        <f t="shared" si="11"/>
        <v>0.72</v>
      </c>
      <c r="Y19" s="128">
        <f t="shared" si="12"/>
        <v>0.72</v>
      </c>
      <c r="Z19" s="619">
        <f t="shared" si="13"/>
        <v>0.216</v>
      </c>
      <c r="AA19" s="433" t="s">
        <v>478</v>
      </c>
      <c r="AB19" s="315" t="s">
        <v>479</v>
      </c>
      <c r="AC19" s="315" t="s">
        <v>480</v>
      </c>
      <c r="AD19" s="219" t="s">
        <v>43</v>
      </c>
      <c r="AE19" s="208" t="s">
        <v>396</v>
      </c>
      <c r="AF19" s="447">
        <v>0.24</v>
      </c>
      <c r="AG19" s="508">
        <v>0.24</v>
      </c>
      <c r="AH19" s="220"/>
      <c r="AI19" s="1266">
        <v>0.24</v>
      </c>
      <c r="AJ19" s="1267">
        <v>0.24</v>
      </c>
      <c r="AK19" s="221"/>
      <c r="AL19" s="434">
        <v>0.24</v>
      </c>
      <c r="AM19" s="435">
        <v>0.26</v>
      </c>
      <c r="AN19" s="222"/>
      <c r="AO19" s="434"/>
      <c r="AP19" s="435"/>
      <c r="AQ19" s="222"/>
    </row>
    <row r="20" spans="1:43" s="114" customFormat="1" ht="69" customHeight="1" x14ac:dyDescent="0.25">
      <c r="A20" s="1666"/>
      <c r="B20" s="1676"/>
      <c r="C20" s="1669"/>
      <c r="D20" s="1672"/>
      <c r="E20" s="843" t="s">
        <v>570</v>
      </c>
      <c r="F20" s="680" t="s">
        <v>796</v>
      </c>
      <c r="G20" s="323">
        <v>16</v>
      </c>
      <c r="H20" s="484">
        <v>0.35</v>
      </c>
      <c r="I20" s="210" t="s">
        <v>42</v>
      </c>
      <c r="J20" s="215" t="s">
        <v>40</v>
      </c>
      <c r="K20" s="570">
        <v>3</v>
      </c>
      <c r="L20" s="481">
        <f t="shared" si="3"/>
        <v>5</v>
      </c>
      <c r="M20" s="607">
        <f t="shared" si="4"/>
        <v>1.6666666666666667</v>
      </c>
      <c r="N20" s="580">
        <v>5</v>
      </c>
      <c r="O20" s="481">
        <f t="shared" si="14"/>
        <v>15</v>
      </c>
      <c r="P20" s="190">
        <f t="shared" si="5"/>
        <v>3</v>
      </c>
      <c r="Q20" s="578">
        <v>29</v>
      </c>
      <c r="R20" s="481">
        <f t="shared" si="6"/>
        <v>29</v>
      </c>
      <c r="S20" s="190">
        <f t="shared" si="7"/>
        <v>1</v>
      </c>
      <c r="T20" s="578">
        <v>26</v>
      </c>
      <c r="U20" s="481">
        <f t="shared" si="8"/>
        <v>0</v>
      </c>
      <c r="V20" s="190">
        <f t="shared" si="9"/>
        <v>0</v>
      </c>
      <c r="W20" s="199">
        <f t="shared" si="10"/>
        <v>63</v>
      </c>
      <c r="X20" s="481">
        <f t="shared" si="11"/>
        <v>49</v>
      </c>
      <c r="Y20" s="190">
        <f t="shared" si="12"/>
        <v>0.77777777777777779</v>
      </c>
      <c r="Z20" s="620">
        <f t="shared" si="13"/>
        <v>0.2722222222222222</v>
      </c>
      <c r="AA20" s="146" t="s">
        <v>334</v>
      </c>
      <c r="AB20" s="420" t="s">
        <v>481</v>
      </c>
      <c r="AC20" s="420" t="s">
        <v>482</v>
      </c>
      <c r="AD20" s="148" t="s">
        <v>43</v>
      </c>
      <c r="AE20" s="149" t="s">
        <v>397</v>
      </c>
      <c r="AF20" s="216">
        <v>5</v>
      </c>
      <c r="AG20" s="537">
        <f t="shared" ref="AG20:AG21" si="15">+K20</f>
        <v>3</v>
      </c>
      <c r="AH20" s="150"/>
      <c r="AI20" s="1268">
        <v>15</v>
      </c>
      <c r="AJ20" s="1214">
        <v>5</v>
      </c>
      <c r="AK20" s="204"/>
      <c r="AL20" s="151">
        <v>29</v>
      </c>
      <c r="AM20" s="152">
        <v>29</v>
      </c>
      <c r="AN20" s="154"/>
      <c r="AO20" s="151"/>
      <c r="AP20" s="152"/>
      <c r="AQ20" s="154"/>
    </row>
    <row r="21" spans="1:43" s="114" customFormat="1" ht="51" customHeight="1" x14ac:dyDescent="0.25">
      <c r="A21" s="1666"/>
      <c r="B21" s="1676"/>
      <c r="C21" s="1669"/>
      <c r="D21" s="1672"/>
      <c r="E21" s="843" t="s">
        <v>571</v>
      </c>
      <c r="F21" s="680" t="s">
        <v>483</v>
      </c>
      <c r="G21" s="324">
        <v>130</v>
      </c>
      <c r="H21" s="210">
        <v>0.35</v>
      </c>
      <c r="I21" s="210" t="s">
        <v>42</v>
      </c>
      <c r="J21" s="215" t="s">
        <v>40</v>
      </c>
      <c r="K21" s="570">
        <v>60</v>
      </c>
      <c r="L21" s="481">
        <f t="shared" si="3"/>
        <v>55</v>
      </c>
      <c r="M21" s="607">
        <f t="shared" si="4"/>
        <v>0.91666666666666663</v>
      </c>
      <c r="N21" s="580">
        <v>314</v>
      </c>
      <c r="O21" s="481">
        <f t="shared" si="14"/>
        <v>157</v>
      </c>
      <c r="P21" s="190">
        <f t="shared" si="5"/>
        <v>0.5</v>
      </c>
      <c r="Q21" s="578">
        <v>313</v>
      </c>
      <c r="R21" s="481">
        <f t="shared" si="6"/>
        <v>692</v>
      </c>
      <c r="S21" s="190">
        <f t="shared" si="7"/>
        <v>2.2108626198083066</v>
      </c>
      <c r="T21" s="578">
        <v>313</v>
      </c>
      <c r="U21" s="481">
        <f t="shared" si="8"/>
        <v>0</v>
      </c>
      <c r="V21" s="190">
        <f t="shared" si="9"/>
        <v>0</v>
      </c>
      <c r="W21" s="199">
        <f t="shared" si="10"/>
        <v>1000</v>
      </c>
      <c r="X21" s="481">
        <f t="shared" si="11"/>
        <v>904</v>
      </c>
      <c r="Y21" s="190">
        <f t="shared" si="12"/>
        <v>0.90400000000000003</v>
      </c>
      <c r="Z21" s="620">
        <f t="shared" si="13"/>
        <v>0.31640000000000001</v>
      </c>
      <c r="AA21" s="146" t="s">
        <v>335</v>
      </c>
      <c r="AB21" s="420" t="s">
        <v>336</v>
      </c>
      <c r="AC21" s="420" t="s">
        <v>337</v>
      </c>
      <c r="AD21" s="148" t="s">
        <v>43</v>
      </c>
      <c r="AE21" s="149" t="s">
        <v>398</v>
      </c>
      <c r="AF21" s="216">
        <v>55</v>
      </c>
      <c r="AG21" s="537">
        <f t="shared" si="15"/>
        <v>60</v>
      </c>
      <c r="AH21" s="150"/>
      <c r="AI21" s="1268">
        <v>157</v>
      </c>
      <c r="AJ21" s="1214">
        <v>314</v>
      </c>
      <c r="AK21" s="204"/>
      <c r="AL21" s="151">
        <v>692</v>
      </c>
      <c r="AM21" s="152">
        <v>313</v>
      </c>
      <c r="AN21" s="154"/>
      <c r="AO21" s="151"/>
      <c r="AP21" s="152"/>
      <c r="AQ21" s="154"/>
    </row>
    <row r="22" spans="1:43" s="114" customFormat="1" ht="51" customHeight="1" thickBot="1" x14ac:dyDescent="0.3">
      <c r="A22" s="1666"/>
      <c r="B22" s="1677"/>
      <c r="C22" s="1681"/>
      <c r="D22" s="1674"/>
      <c r="E22" s="848" t="s">
        <v>572</v>
      </c>
      <c r="F22" s="682" t="s">
        <v>460</v>
      </c>
      <c r="G22" s="123">
        <v>69</v>
      </c>
      <c r="H22" s="429">
        <v>0.35</v>
      </c>
      <c r="I22" s="429" t="s">
        <v>39</v>
      </c>
      <c r="J22" s="217" t="s">
        <v>106</v>
      </c>
      <c r="K22" s="621">
        <v>1</v>
      </c>
      <c r="L22" s="534">
        <f t="shared" si="3"/>
        <v>1</v>
      </c>
      <c r="M22" s="608">
        <f t="shared" si="4"/>
        <v>1</v>
      </c>
      <c r="N22" s="621">
        <v>1</v>
      </c>
      <c r="O22" s="1209">
        <f t="shared" si="14"/>
        <v>1</v>
      </c>
      <c r="P22" s="158">
        <f t="shared" si="5"/>
        <v>1</v>
      </c>
      <c r="Q22" s="622">
        <v>1</v>
      </c>
      <c r="R22" s="1357">
        <f t="shared" si="6"/>
        <v>1</v>
      </c>
      <c r="S22" s="158">
        <f t="shared" si="7"/>
        <v>1</v>
      </c>
      <c r="T22" s="621">
        <v>1</v>
      </c>
      <c r="U22" s="486">
        <f t="shared" si="8"/>
        <v>0</v>
      </c>
      <c r="V22" s="158">
        <f t="shared" si="9"/>
        <v>0</v>
      </c>
      <c r="W22" s="169">
        <f t="shared" si="10"/>
        <v>1</v>
      </c>
      <c r="X22" s="486">
        <f t="shared" si="11"/>
        <v>0.75</v>
      </c>
      <c r="Y22" s="158">
        <f t="shared" si="12"/>
        <v>0.75</v>
      </c>
      <c r="Z22" s="623">
        <f t="shared" si="13"/>
        <v>0.26249999999999996</v>
      </c>
      <c r="AA22" s="161" t="s">
        <v>484</v>
      </c>
      <c r="AB22" s="419" t="s">
        <v>485</v>
      </c>
      <c r="AC22" s="419" t="s">
        <v>338</v>
      </c>
      <c r="AD22" s="162" t="s">
        <v>43</v>
      </c>
      <c r="AE22" s="163" t="s">
        <v>397</v>
      </c>
      <c r="AF22" s="449">
        <v>29</v>
      </c>
      <c r="AG22" s="486">
        <v>29</v>
      </c>
      <c r="AH22" s="164"/>
      <c r="AI22" s="1217">
        <v>1</v>
      </c>
      <c r="AJ22" s="1269">
        <v>1</v>
      </c>
      <c r="AK22" s="206"/>
      <c r="AL22" s="165">
        <v>39</v>
      </c>
      <c r="AM22" s="166">
        <v>39</v>
      </c>
      <c r="AN22" s="168"/>
      <c r="AO22" s="165"/>
      <c r="AP22" s="166"/>
      <c r="AQ22" s="168"/>
    </row>
    <row r="23" spans="1:43" s="114" customFormat="1" ht="59.25" customHeight="1" x14ac:dyDescent="0.25">
      <c r="A23" s="1667"/>
      <c r="B23" s="1689">
        <v>14</v>
      </c>
      <c r="C23" s="1683" t="s">
        <v>278</v>
      </c>
      <c r="D23" s="1686">
        <v>0.16</v>
      </c>
      <c r="E23" s="849" t="s">
        <v>756</v>
      </c>
      <c r="F23" s="647" t="s">
        <v>728</v>
      </c>
      <c r="G23" s="646">
        <v>1</v>
      </c>
      <c r="H23" s="653">
        <v>0.5</v>
      </c>
      <c r="I23" s="653" t="s">
        <v>42</v>
      </c>
      <c r="J23" s="215" t="s">
        <v>106</v>
      </c>
      <c r="K23" s="570">
        <v>1</v>
      </c>
      <c r="L23" s="650">
        <f t="shared" ref="L23" si="16">IF(I23="Cantidad",AF23,IF(ISERROR(AF23/AG23),0,AF23/AG23))</f>
        <v>1</v>
      </c>
      <c r="M23" s="607">
        <f t="shared" ref="M23" si="17">IF(ISERROR(L23/K23),0,(L23/K23))</f>
        <v>1</v>
      </c>
      <c r="N23" s="580">
        <v>1</v>
      </c>
      <c r="O23" s="650">
        <f t="shared" si="14"/>
        <v>1</v>
      </c>
      <c r="P23" s="190">
        <f t="shared" ref="P23:P24" si="18">IF(ISERROR(O23/N23),0,(O23/N23))</f>
        <v>1</v>
      </c>
      <c r="Q23" s="578">
        <v>1</v>
      </c>
      <c r="R23" s="650">
        <f t="shared" ref="R23:R24" si="19">IF(I23="Cantidad",AL23,IF(ISERROR(AL23/AM23),0,AL23/AM23))</f>
        <v>1</v>
      </c>
      <c r="S23" s="190">
        <f t="shared" ref="S23:S24" si="20">IF(ISERROR(R23/Q23),0,(R23/Q23))</f>
        <v>1</v>
      </c>
      <c r="T23" s="578">
        <v>1</v>
      </c>
      <c r="U23" s="650">
        <f t="shared" ref="U23:U24" si="21">IF(I23="Cantidad",AO23,IF(ISERROR(AO23/AP23),0,AO23/AP23))</f>
        <v>0</v>
      </c>
      <c r="V23" s="190">
        <f t="shared" ref="V23:V24" si="22">IF(ISERROR(U23/T23),0,(U23/T23))</f>
        <v>0</v>
      </c>
      <c r="W23" s="199">
        <f t="shared" ref="W23:W24" si="23">IF(J23="SUMA",(K23+N23+Q23+T23),(K23))</f>
        <v>1</v>
      </c>
      <c r="X23" s="650">
        <f t="shared" ref="X23:X24" si="24">IF(ISERROR(AVERAGE(L23,O23,R23,U23)),0,IF(J23="Suma",(L23+O23+R23+U23),AVERAGE(L23,O23,R23,U23)))</f>
        <v>0.75</v>
      </c>
      <c r="Y23" s="190">
        <f t="shared" ref="Y23" si="25">IF(ISERROR(X23/W23),0,(X23/W23))</f>
        <v>0.75</v>
      </c>
      <c r="Z23" s="620">
        <f t="shared" ref="Z23" si="26">+Y23*H23</f>
        <v>0.375</v>
      </c>
      <c r="AA23" s="146" t="s">
        <v>729</v>
      </c>
      <c r="AB23" s="315" t="s">
        <v>730</v>
      </c>
      <c r="AC23" s="315" t="s">
        <v>731</v>
      </c>
      <c r="AD23" s="148" t="s">
        <v>43</v>
      </c>
      <c r="AE23" s="208" t="s">
        <v>396</v>
      </c>
      <c r="AF23" s="645">
        <v>1</v>
      </c>
      <c r="AG23" s="822">
        <v>1</v>
      </c>
      <c r="AH23" s="150"/>
      <c r="AI23" s="1268">
        <v>1</v>
      </c>
      <c r="AJ23" s="1214">
        <v>1</v>
      </c>
      <c r="AK23" s="204"/>
      <c r="AL23" s="151">
        <v>1</v>
      </c>
      <c r="AM23" s="152">
        <v>1</v>
      </c>
      <c r="AN23" s="154"/>
      <c r="AO23" s="151"/>
      <c r="AP23" s="152"/>
      <c r="AQ23" s="154"/>
    </row>
    <row r="24" spans="1:43" s="114" customFormat="1" ht="75.75" customHeight="1" x14ac:dyDescent="0.25">
      <c r="A24" s="1667"/>
      <c r="B24" s="1690"/>
      <c r="C24" s="1684"/>
      <c r="D24" s="1687"/>
      <c r="E24" s="614" t="s">
        <v>575</v>
      </c>
      <c r="F24" s="648" t="s">
        <v>303</v>
      </c>
      <c r="G24" s="479">
        <v>2923</v>
      </c>
      <c r="H24" s="485">
        <v>0.3</v>
      </c>
      <c r="I24" s="485" t="s">
        <v>39</v>
      </c>
      <c r="J24" s="615" t="s">
        <v>106</v>
      </c>
      <c r="K24" s="616">
        <v>1</v>
      </c>
      <c r="L24" s="543">
        <f t="shared" si="3"/>
        <v>1</v>
      </c>
      <c r="M24" s="617">
        <f t="shared" si="4"/>
        <v>1</v>
      </c>
      <c r="N24" s="616">
        <v>1</v>
      </c>
      <c r="O24" s="1208">
        <f t="shared" si="14"/>
        <v>1</v>
      </c>
      <c r="P24" s="190">
        <f t="shared" si="18"/>
        <v>1</v>
      </c>
      <c r="Q24" s="1380">
        <v>1</v>
      </c>
      <c r="R24" s="650">
        <f t="shared" si="19"/>
        <v>1</v>
      </c>
      <c r="S24" s="190">
        <f t="shared" si="20"/>
        <v>1</v>
      </c>
      <c r="T24" s="1380">
        <v>1</v>
      </c>
      <c r="U24" s="650">
        <f t="shared" si="21"/>
        <v>0</v>
      </c>
      <c r="V24" s="190">
        <f t="shared" si="22"/>
        <v>0</v>
      </c>
      <c r="W24" s="199">
        <f t="shared" si="23"/>
        <v>1</v>
      </c>
      <c r="X24" s="650">
        <f t="shared" si="24"/>
        <v>0.75</v>
      </c>
      <c r="Y24" s="182">
        <f t="shared" si="12"/>
        <v>0.75</v>
      </c>
      <c r="Z24" s="183">
        <f t="shared" si="13"/>
        <v>0.22499999999999998</v>
      </c>
      <c r="AA24" s="146" t="s">
        <v>486</v>
      </c>
      <c r="AB24" s="420" t="s">
        <v>487</v>
      </c>
      <c r="AC24" s="420" t="s">
        <v>488</v>
      </c>
      <c r="AD24" s="148" t="s">
        <v>43</v>
      </c>
      <c r="AE24" s="149" t="s">
        <v>399</v>
      </c>
      <c r="AF24" s="216">
        <v>709</v>
      </c>
      <c r="AG24" s="822">
        <v>709</v>
      </c>
      <c r="AH24" s="150"/>
      <c r="AI24" s="1268">
        <v>2347</v>
      </c>
      <c r="AJ24" s="1214">
        <v>2347</v>
      </c>
      <c r="AK24" s="204"/>
      <c r="AL24" s="151">
        <v>816</v>
      </c>
      <c r="AM24" s="152">
        <v>816</v>
      </c>
      <c r="AN24" s="154"/>
      <c r="AO24" s="151"/>
      <c r="AP24" s="152"/>
      <c r="AQ24" s="154"/>
    </row>
    <row r="25" spans="1:43" s="114" customFormat="1" ht="64.5" customHeight="1" thickBot="1" x14ac:dyDescent="0.3">
      <c r="A25" s="1666"/>
      <c r="B25" s="1691"/>
      <c r="C25" s="1685"/>
      <c r="D25" s="1688"/>
      <c r="E25" s="611" t="s">
        <v>633</v>
      </c>
      <c r="F25" s="224" t="s">
        <v>305</v>
      </c>
      <c r="G25" s="324">
        <v>365</v>
      </c>
      <c r="H25" s="210">
        <v>0.2</v>
      </c>
      <c r="I25" s="210" t="s">
        <v>39</v>
      </c>
      <c r="J25" s="215" t="s">
        <v>106</v>
      </c>
      <c r="K25" s="573">
        <v>1</v>
      </c>
      <c r="L25" s="534">
        <f t="shared" si="3"/>
        <v>1</v>
      </c>
      <c r="M25" s="612">
        <f t="shared" si="4"/>
        <v>1</v>
      </c>
      <c r="N25" s="573">
        <v>1</v>
      </c>
      <c r="O25" s="1209">
        <f t="shared" si="14"/>
        <v>1</v>
      </c>
      <c r="P25" s="144">
        <f t="shared" si="5"/>
        <v>1</v>
      </c>
      <c r="Q25" s="604">
        <v>1</v>
      </c>
      <c r="R25" s="126">
        <f t="shared" si="6"/>
        <v>1</v>
      </c>
      <c r="S25" s="144">
        <f t="shared" si="7"/>
        <v>1</v>
      </c>
      <c r="T25" s="573">
        <v>1</v>
      </c>
      <c r="U25" s="126">
        <f t="shared" si="8"/>
        <v>0</v>
      </c>
      <c r="V25" s="144">
        <f t="shared" si="9"/>
        <v>0</v>
      </c>
      <c r="W25" s="613">
        <f t="shared" si="10"/>
        <v>1</v>
      </c>
      <c r="X25" s="126">
        <f t="shared" si="11"/>
        <v>0.75</v>
      </c>
      <c r="Y25" s="144">
        <f t="shared" si="12"/>
        <v>0.75</v>
      </c>
      <c r="Z25" s="191">
        <f t="shared" si="13"/>
        <v>0.15000000000000002</v>
      </c>
      <c r="AA25" s="146" t="s">
        <v>489</v>
      </c>
      <c r="AB25" s="420" t="s">
        <v>339</v>
      </c>
      <c r="AC25" s="420" t="s">
        <v>490</v>
      </c>
      <c r="AD25" s="148" t="s">
        <v>43</v>
      </c>
      <c r="AE25" s="149" t="s">
        <v>400</v>
      </c>
      <c r="AF25" s="216">
        <v>82</v>
      </c>
      <c r="AG25" s="140">
        <v>82</v>
      </c>
      <c r="AH25" s="150"/>
      <c r="AI25" s="1268">
        <v>117</v>
      </c>
      <c r="AJ25" s="1214">
        <v>117</v>
      </c>
      <c r="AK25" s="153"/>
      <c r="AL25" s="151">
        <v>116</v>
      </c>
      <c r="AM25" s="152">
        <v>116</v>
      </c>
      <c r="AN25" s="154"/>
      <c r="AO25" s="151"/>
      <c r="AP25" s="152"/>
      <c r="AQ25" s="154"/>
    </row>
    <row r="26" spans="1:43" s="114" customFormat="1" ht="69.75" customHeight="1" x14ac:dyDescent="0.25">
      <c r="A26" s="1665" t="s">
        <v>593</v>
      </c>
      <c r="B26" s="826">
        <v>15</v>
      </c>
      <c r="C26" s="811" t="s">
        <v>231</v>
      </c>
      <c r="D26" s="1663">
        <v>0.16</v>
      </c>
      <c r="E26" s="842" t="s">
        <v>576</v>
      </c>
      <c r="F26" s="596" t="s">
        <v>491</v>
      </c>
      <c r="G26" s="840">
        <v>53668</v>
      </c>
      <c r="H26" s="483">
        <v>0.8</v>
      </c>
      <c r="I26" s="483" t="s">
        <v>42</v>
      </c>
      <c r="J26" s="213" t="s">
        <v>40</v>
      </c>
      <c r="K26" s="574">
        <v>20829</v>
      </c>
      <c r="L26" s="526">
        <f t="shared" si="3"/>
        <v>16494</v>
      </c>
      <c r="M26" s="606">
        <f t="shared" si="4"/>
        <v>0.79187671035575402</v>
      </c>
      <c r="N26" s="569">
        <v>20829</v>
      </c>
      <c r="O26" s="822">
        <f t="shared" si="14"/>
        <v>9945</v>
      </c>
      <c r="P26" s="128">
        <f t="shared" si="5"/>
        <v>0.47745931153679966</v>
      </c>
      <c r="Q26" s="577">
        <v>20829</v>
      </c>
      <c r="R26" s="480">
        <f t="shared" si="6"/>
        <v>23512</v>
      </c>
      <c r="S26" s="128">
        <f t="shared" si="7"/>
        <v>1.1288107926448701</v>
      </c>
      <c r="T26" s="577">
        <v>20832</v>
      </c>
      <c r="U26" s="480">
        <f t="shared" si="8"/>
        <v>0</v>
      </c>
      <c r="V26" s="128">
        <f t="shared" si="9"/>
        <v>0</v>
      </c>
      <c r="W26" s="129">
        <f t="shared" si="10"/>
        <v>83319</v>
      </c>
      <c r="X26" s="480">
        <f t="shared" si="11"/>
        <v>49951</v>
      </c>
      <c r="Y26" s="128">
        <f t="shared" si="12"/>
        <v>0.59951511660005519</v>
      </c>
      <c r="Z26" s="130">
        <f t="shared" si="13"/>
        <v>0.47961209328004417</v>
      </c>
      <c r="AA26" s="131" t="s">
        <v>340</v>
      </c>
      <c r="AB26" s="417" t="s">
        <v>341</v>
      </c>
      <c r="AC26" s="417" t="s">
        <v>492</v>
      </c>
      <c r="AD26" s="327" t="s">
        <v>43</v>
      </c>
      <c r="AE26" s="329" t="s">
        <v>401</v>
      </c>
      <c r="AF26" s="527">
        <v>16494</v>
      </c>
      <c r="AG26" s="315">
        <f>+N26</f>
        <v>20829</v>
      </c>
      <c r="AH26" s="134"/>
      <c r="AI26" s="1363">
        <v>9945</v>
      </c>
      <c r="AJ26" s="136">
        <v>20829</v>
      </c>
      <c r="AK26" s="137"/>
      <c r="AL26" s="1377">
        <v>23512</v>
      </c>
      <c r="AM26" s="157">
        <v>20829</v>
      </c>
      <c r="AN26" s="1381"/>
      <c r="AO26" s="773"/>
      <c r="AP26" s="157"/>
      <c r="AQ26" s="138"/>
    </row>
    <row r="27" spans="1:43" s="114" customFormat="1" ht="143.25" customHeight="1" thickBot="1" x14ac:dyDescent="0.3">
      <c r="A27" s="1682"/>
      <c r="B27" s="828">
        <v>16</v>
      </c>
      <c r="C27" s="813" t="s">
        <v>797</v>
      </c>
      <c r="D27" s="1664"/>
      <c r="E27" s="848" t="s">
        <v>578</v>
      </c>
      <c r="F27" s="595" t="s">
        <v>798</v>
      </c>
      <c r="G27" s="841">
        <v>9372</v>
      </c>
      <c r="H27" s="429">
        <v>0.2</v>
      </c>
      <c r="I27" s="429" t="s">
        <v>42</v>
      </c>
      <c r="J27" s="217" t="s">
        <v>40</v>
      </c>
      <c r="K27" s="568">
        <v>2313</v>
      </c>
      <c r="L27" s="486">
        <f t="shared" si="3"/>
        <v>2052</v>
      </c>
      <c r="M27" s="608">
        <f t="shared" si="4"/>
        <v>0.88715953307392992</v>
      </c>
      <c r="N27" s="581">
        <v>2313</v>
      </c>
      <c r="O27" s="486">
        <f t="shared" si="14"/>
        <v>350</v>
      </c>
      <c r="P27" s="158">
        <f t="shared" si="5"/>
        <v>0.15131863380890617</v>
      </c>
      <c r="Q27" s="579">
        <v>585</v>
      </c>
      <c r="R27" s="486">
        <f t="shared" si="6"/>
        <v>1562</v>
      </c>
      <c r="S27" s="158">
        <f t="shared" si="7"/>
        <v>2.6700854700854699</v>
      </c>
      <c r="T27" s="579">
        <v>585</v>
      </c>
      <c r="U27" s="486">
        <f t="shared" si="8"/>
        <v>0</v>
      </c>
      <c r="V27" s="158">
        <f t="shared" si="9"/>
        <v>0</v>
      </c>
      <c r="W27" s="159">
        <f t="shared" si="10"/>
        <v>5796</v>
      </c>
      <c r="X27" s="486">
        <f t="shared" si="11"/>
        <v>3964</v>
      </c>
      <c r="Y27" s="158">
        <f t="shared" si="12"/>
        <v>0.68391994478951001</v>
      </c>
      <c r="Z27" s="160">
        <f t="shared" si="13"/>
        <v>0.136783988957902</v>
      </c>
      <c r="AA27" s="161" t="s">
        <v>342</v>
      </c>
      <c r="AB27" s="419" t="s">
        <v>493</v>
      </c>
      <c r="AC27" s="419" t="s">
        <v>494</v>
      </c>
      <c r="AD27" s="328" t="s">
        <v>43</v>
      </c>
      <c r="AE27" s="330" t="s">
        <v>401</v>
      </c>
      <c r="AF27" s="478">
        <v>2052</v>
      </c>
      <c r="AG27" s="533">
        <f>+N27</f>
        <v>2313</v>
      </c>
      <c r="AH27" s="164"/>
      <c r="AI27" s="1364">
        <v>350</v>
      </c>
      <c r="AJ27" s="1269">
        <v>2313</v>
      </c>
      <c r="AK27" s="167"/>
      <c r="AL27" s="668">
        <v>1562</v>
      </c>
      <c r="AM27" s="166">
        <v>565</v>
      </c>
      <c r="AN27" s="1382"/>
      <c r="AO27" s="165"/>
      <c r="AP27" s="166"/>
      <c r="AQ27" s="168"/>
    </row>
    <row r="28" spans="1:43" s="114" customFormat="1" ht="12" customHeight="1" x14ac:dyDescent="0.25">
      <c r="A28" s="106"/>
      <c r="B28" s="106"/>
      <c r="C28" s="106"/>
      <c r="D28" s="225">
        <f>SUM(D11:D27)</f>
        <v>1</v>
      </c>
      <c r="E28" s="226"/>
      <c r="F28" s="597"/>
      <c r="G28" s="106"/>
      <c r="H28" s="188">
        <f>SUM(H11:H16)</f>
        <v>1</v>
      </c>
      <c r="I28" s="106"/>
      <c r="J28" s="106"/>
      <c r="K28" s="575"/>
      <c r="L28" s="106"/>
      <c r="M28" s="106"/>
      <c r="N28" s="575"/>
      <c r="O28" s="106"/>
      <c r="P28" s="106"/>
      <c r="Q28" s="575"/>
      <c r="R28" s="106"/>
      <c r="S28" s="106"/>
      <c r="T28" s="575"/>
      <c r="U28" s="106"/>
      <c r="V28" s="106"/>
      <c r="W28" s="106"/>
      <c r="X28" s="106"/>
      <c r="Y28" s="106"/>
      <c r="Z28" s="106"/>
      <c r="AA28" s="106"/>
      <c r="AB28" s="106"/>
      <c r="AC28" s="106"/>
      <c r="AD28" s="106"/>
      <c r="AF28" s="446"/>
      <c r="AG28" s="446"/>
      <c r="AH28" s="106"/>
      <c r="AI28" s="1265"/>
      <c r="AJ28" s="1265"/>
    </row>
    <row r="29" spans="1:43" s="114" customFormat="1" x14ac:dyDescent="0.25">
      <c r="A29" s="106"/>
      <c r="B29" s="106"/>
      <c r="C29" s="106"/>
      <c r="D29" s="226"/>
      <c r="E29" s="226"/>
      <c r="F29" s="414"/>
      <c r="G29" s="106"/>
      <c r="H29" s="106"/>
      <c r="I29" s="106"/>
      <c r="J29" s="106"/>
      <c r="K29" s="575"/>
      <c r="L29" s="106"/>
      <c r="M29" s="106"/>
      <c r="N29" s="575"/>
      <c r="O29" s="106"/>
      <c r="P29" s="106"/>
      <c r="Q29" s="575"/>
      <c r="R29" s="106"/>
      <c r="S29" s="106"/>
      <c r="T29" s="575"/>
      <c r="U29" s="106"/>
      <c r="V29" s="106"/>
      <c r="W29" s="106"/>
      <c r="X29" s="106"/>
      <c r="Y29" s="106"/>
      <c r="Z29" s="106"/>
      <c r="AA29" s="106"/>
      <c r="AB29" s="106"/>
      <c r="AC29" s="106"/>
      <c r="AD29" s="106"/>
      <c r="AF29" s="446"/>
      <c r="AG29" s="446"/>
      <c r="AH29" s="106"/>
      <c r="AI29" s="1265"/>
      <c r="AJ29" s="1265"/>
    </row>
    <row r="30" spans="1:43" s="114" customFormat="1" x14ac:dyDescent="0.25">
      <c r="A30" s="106"/>
      <c r="B30" s="106"/>
      <c r="C30" s="106"/>
      <c r="D30" s="226"/>
      <c r="E30" s="226"/>
      <c r="F30" s="414"/>
      <c r="G30" s="106"/>
      <c r="H30" s="106"/>
      <c r="I30" s="106"/>
      <c r="J30" s="106"/>
      <c r="K30" s="575"/>
      <c r="L30" s="106"/>
      <c r="M30" s="106"/>
      <c r="N30" s="575"/>
      <c r="O30" s="106"/>
      <c r="P30" s="106"/>
      <c r="Q30" s="575"/>
      <c r="R30" s="106"/>
      <c r="S30" s="106"/>
      <c r="T30" s="575"/>
      <c r="U30" s="106"/>
      <c r="V30" s="1970"/>
      <c r="W30" s="106"/>
      <c r="X30" s="106"/>
      <c r="Y30" s="106"/>
      <c r="Z30" s="106"/>
      <c r="AA30" s="106"/>
      <c r="AB30" s="106"/>
      <c r="AC30" s="106"/>
      <c r="AD30" s="106"/>
      <c r="AF30" s="446"/>
      <c r="AG30" s="446"/>
      <c r="AH30" s="106"/>
      <c r="AI30" s="1265"/>
      <c r="AJ30" s="1265"/>
    </row>
    <row r="31" spans="1:43" s="114" customFormat="1" x14ac:dyDescent="0.25">
      <c r="A31" s="106"/>
      <c r="B31" s="106"/>
      <c r="C31" s="106"/>
      <c r="D31" s="226"/>
      <c r="E31" s="226"/>
      <c r="F31" s="414"/>
      <c r="G31" s="106"/>
      <c r="H31" s="106"/>
      <c r="I31" s="106"/>
      <c r="J31" s="106"/>
      <c r="K31" s="575"/>
      <c r="L31" s="106"/>
      <c r="M31" s="106"/>
      <c r="N31" s="575"/>
      <c r="O31" s="106"/>
      <c r="P31" s="106"/>
      <c r="Q31" s="575"/>
      <c r="R31" s="106"/>
      <c r="S31" s="106"/>
      <c r="T31" s="575"/>
      <c r="U31" s="106"/>
      <c r="V31" s="1970"/>
      <c r="W31" s="106"/>
      <c r="X31" s="106"/>
      <c r="Y31" s="106"/>
      <c r="Z31" s="106"/>
      <c r="AA31" s="106"/>
      <c r="AB31" s="106"/>
      <c r="AC31" s="106"/>
      <c r="AD31" s="106"/>
      <c r="AF31" s="446"/>
      <c r="AG31" s="446"/>
      <c r="AH31" s="106"/>
      <c r="AI31" s="1265"/>
      <c r="AJ31" s="1265"/>
    </row>
    <row r="32" spans="1:43" s="114" customFormat="1" x14ac:dyDescent="0.25">
      <c r="A32" s="106"/>
      <c r="B32" s="106"/>
      <c r="C32" s="106"/>
      <c r="D32" s="226"/>
      <c r="E32" s="226"/>
      <c r="F32" s="106"/>
      <c r="G32" s="106"/>
      <c r="H32" s="106"/>
      <c r="I32" s="106"/>
      <c r="J32" s="106"/>
      <c r="K32" s="575"/>
      <c r="L32" s="106"/>
      <c r="M32" s="106"/>
      <c r="N32" s="575"/>
      <c r="O32" s="106"/>
      <c r="P32" s="106"/>
      <c r="Q32" s="575"/>
      <c r="R32" s="106"/>
      <c r="S32" s="106"/>
      <c r="T32" s="575"/>
      <c r="U32" s="106"/>
      <c r="V32" s="106"/>
      <c r="W32" s="106"/>
      <c r="X32" s="106"/>
      <c r="Y32" s="106"/>
      <c r="Z32" s="106"/>
      <c r="AA32" s="106"/>
      <c r="AB32" s="106"/>
      <c r="AC32" s="106"/>
      <c r="AD32" s="106"/>
      <c r="AF32" s="446"/>
      <c r="AG32" s="446"/>
      <c r="AH32" s="106"/>
      <c r="AI32" s="1265"/>
      <c r="AJ32" s="1265"/>
    </row>
    <row r="33" spans="1:36" s="114" customFormat="1" x14ac:dyDescent="0.25">
      <c r="A33" s="106"/>
      <c r="B33" s="106"/>
      <c r="C33" s="106"/>
      <c r="D33" s="226"/>
      <c r="E33" s="226"/>
      <c r="F33" s="106"/>
      <c r="G33" s="106"/>
      <c r="H33" s="106"/>
      <c r="I33" s="106"/>
      <c r="J33" s="106"/>
      <c r="K33" s="575"/>
      <c r="L33" s="106"/>
      <c r="M33" s="106"/>
      <c r="N33" s="575"/>
      <c r="O33" s="106"/>
      <c r="P33" s="106"/>
      <c r="Q33" s="575"/>
      <c r="R33" s="106"/>
      <c r="S33" s="106"/>
      <c r="T33" s="575"/>
      <c r="U33" s="106"/>
      <c r="V33" s="106"/>
      <c r="W33" s="106"/>
      <c r="X33" s="106"/>
      <c r="Y33" s="106"/>
      <c r="Z33" s="106"/>
      <c r="AA33" s="106"/>
      <c r="AB33" s="106"/>
      <c r="AC33" s="106"/>
      <c r="AD33" s="106"/>
      <c r="AF33" s="446"/>
      <c r="AG33" s="446"/>
      <c r="AH33" s="106"/>
      <c r="AI33" s="1265"/>
      <c r="AJ33" s="1265"/>
    </row>
    <row r="34" spans="1:36" s="114" customFormat="1" x14ac:dyDescent="0.25">
      <c r="A34" s="106"/>
      <c r="B34" s="106"/>
      <c r="C34" s="106"/>
      <c r="D34" s="226"/>
      <c r="E34" s="226"/>
      <c r="F34" s="106"/>
      <c r="G34" s="106"/>
      <c r="H34" s="106"/>
      <c r="I34" s="106"/>
      <c r="J34" s="106"/>
      <c r="K34" s="575"/>
      <c r="L34" s="106"/>
      <c r="M34" s="106"/>
      <c r="N34" s="575"/>
      <c r="O34" s="106"/>
      <c r="P34" s="106"/>
      <c r="Q34" s="575"/>
      <c r="R34" s="106"/>
      <c r="S34" s="106"/>
      <c r="T34" s="575"/>
      <c r="U34" s="106"/>
      <c r="V34" s="106"/>
      <c r="W34" s="106"/>
      <c r="X34" s="106"/>
      <c r="Y34" s="106"/>
      <c r="Z34" s="106"/>
      <c r="AA34" s="106"/>
      <c r="AB34" s="106"/>
      <c r="AC34" s="106"/>
      <c r="AD34" s="106"/>
      <c r="AF34" s="446"/>
      <c r="AG34" s="446"/>
      <c r="AH34" s="106"/>
      <c r="AI34" s="1265"/>
      <c r="AJ34" s="1265"/>
    </row>
    <row r="35" spans="1:36" s="114" customFormat="1" x14ac:dyDescent="0.25">
      <c r="A35" s="106"/>
      <c r="B35" s="106"/>
      <c r="C35" s="106"/>
      <c r="D35" s="226"/>
      <c r="E35" s="226"/>
      <c r="F35" s="106"/>
      <c r="G35" s="106"/>
      <c r="H35" s="106"/>
      <c r="I35" s="106"/>
      <c r="J35" s="106"/>
      <c r="K35" s="575"/>
      <c r="L35" s="106"/>
      <c r="M35" s="106"/>
      <c r="N35" s="575"/>
      <c r="O35" s="106"/>
      <c r="P35" s="106"/>
      <c r="Q35" s="575"/>
      <c r="R35" s="106"/>
      <c r="S35" s="106"/>
      <c r="T35" s="575"/>
      <c r="U35" s="106"/>
      <c r="V35" s="106"/>
      <c r="W35" s="106"/>
      <c r="X35" s="106"/>
      <c r="Y35" s="106"/>
      <c r="Z35" s="106"/>
      <c r="AA35" s="106"/>
      <c r="AB35" s="106"/>
      <c r="AC35" s="106"/>
      <c r="AD35" s="106"/>
      <c r="AF35" s="446"/>
      <c r="AG35" s="446"/>
      <c r="AH35" s="106"/>
      <c r="AI35" s="1265"/>
      <c r="AJ35" s="1265"/>
    </row>
    <row r="36" spans="1:36" s="114" customFormat="1" x14ac:dyDescent="0.25">
      <c r="A36" s="106"/>
      <c r="B36" s="106"/>
      <c r="C36" s="106"/>
      <c r="D36" s="226"/>
      <c r="E36" s="226"/>
      <c r="F36" s="106"/>
      <c r="G36" s="106"/>
      <c r="H36" s="106"/>
      <c r="I36" s="106"/>
      <c r="J36" s="106"/>
      <c r="K36" s="575"/>
      <c r="L36" s="106"/>
      <c r="M36" s="106"/>
      <c r="N36" s="575"/>
      <c r="O36" s="106"/>
      <c r="P36" s="106"/>
      <c r="Q36" s="575"/>
      <c r="R36" s="106"/>
      <c r="S36" s="106"/>
      <c r="T36" s="575"/>
      <c r="U36" s="106"/>
      <c r="V36" s="106"/>
      <c r="W36" s="106"/>
      <c r="X36" s="106"/>
      <c r="Y36" s="106"/>
      <c r="Z36" s="106"/>
      <c r="AA36" s="106"/>
      <c r="AB36" s="106"/>
      <c r="AC36" s="106"/>
      <c r="AD36" s="106"/>
      <c r="AF36" s="446"/>
      <c r="AG36" s="446"/>
      <c r="AH36" s="106"/>
      <c r="AI36" s="1265"/>
      <c r="AJ36" s="1265"/>
    </row>
    <row r="37" spans="1:36" s="114" customFormat="1" x14ac:dyDescent="0.25">
      <c r="A37" s="106"/>
      <c r="B37" s="106"/>
      <c r="C37" s="106"/>
      <c r="D37" s="226"/>
      <c r="E37" s="226"/>
      <c r="F37" s="106"/>
      <c r="G37" s="106"/>
      <c r="H37" s="106"/>
      <c r="I37" s="106"/>
      <c r="J37" s="106"/>
      <c r="K37" s="575"/>
      <c r="L37" s="106"/>
      <c r="M37" s="106"/>
      <c r="N37" s="575"/>
      <c r="O37" s="106"/>
      <c r="P37" s="106"/>
      <c r="Q37" s="575"/>
      <c r="R37" s="106"/>
      <c r="S37" s="106"/>
      <c r="T37" s="575"/>
      <c r="U37" s="106"/>
      <c r="V37" s="106"/>
      <c r="W37" s="106"/>
      <c r="X37" s="106"/>
      <c r="Y37" s="106"/>
      <c r="Z37" s="106"/>
      <c r="AA37" s="106"/>
      <c r="AB37" s="106"/>
      <c r="AC37" s="106"/>
      <c r="AD37" s="106"/>
      <c r="AF37" s="446"/>
      <c r="AG37" s="446"/>
      <c r="AH37" s="106"/>
      <c r="AI37" s="1265"/>
      <c r="AJ37" s="1265"/>
    </row>
    <row r="38" spans="1:36" s="114" customFormat="1" x14ac:dyDescent="0.25">
      <c r="A38" s="106"/>
      <c r="B38" s="106"/>
      <c r="C38" s="106"/>
      <c r="D38" s="226"/>
      <c r="E38" s="226"/>
      <c r="F38" s="106"/>
      <c r="G38" s="106"/>
      <c r="H38" s="106"/>
      <c r="I38" s="106"/>
      <c r="J38" s="106"/>
      <c r="K38" s="575"/>
      <c r="L38" s="106"/>
      <c r="M38" s="106"/>
      <c r="N38" s="575"/>
      <c r="O38" s="106"/>
      <c r="P38" s="106"/>
      <c r="Q38" s="575"/>
      <c r="R38" s="106"/>
      <c r="S38" s="106"/>
      <c r="T38" s="575"/>
      <c r="U38" s="106"/>
      <c r="V38" s="106"/>
      <c r="W38" s="106"/>
      <c r="X38" s="106"/>
      <c r="Y38" s="106"/>
      <c r="Z38" s="106"/>
      <c r="AA38" s="106"/>
      <c r="AB38" s="106"/>
      <c r="AC38" s="106"/>
      <c r="AD38" s="106"/>
      <c r="AF38" s="446"/>
      <c r="AG38" s="446"/>
      <c r="AH38" s="106"/>
      <c r="AI38" s="1265"/>
      <c r="AJ38" s="1265"/>
    </row>
    <row r="39" spans="1:36" s="114" customFormat="1" x14ac:dyDescent="0.25">
      <c r="A39" s="106"/>
      <c r="B39" s="106"/>
      <c r="C39" s="106"/>
      <c r="D39" s="226"/>
      <c r="E39" s="226"/>
      <c r="F39" s="106"/>
      <c r="G39" s="106"/>
      <c r="H39" s="106"/>
      <c r="I39" s="106"/>
      <c r="J39" s="106"/>
      <c r="K39" s="575"/>
      <c r="L39" s="106"/>
      <c r="M39" s="106"/>
      <c r="N39" s="575"/>
      <c r="O39" s="106"/>
      <c r="P39" s="106"/>
      <c r="Q39" s="575"/>
      <c r="R39" s="106"/>
      <c r="S39" s="106"/>
      <c r="T39" s="575"/>
      <c r="U39" s="106"/>
      <c r="V39" s="106"/>
      <c r="W39" s="106"/>
      <c r="X39" s="106"/>
      <c r="Y39" s="106"/>
      <c r="Z39" s="106"/>
      <c r="AA39" s="106"/>
      <c r="AB39" s="106"/>
      <c r="AC39" s="106"/>
      <c r="AD39" s="106"/>
      <c r="AF39" s="446"/>
      <c r="AG39" s="446"/>
      <c r="AH39" s="106"/>
      <c r="AI39" s="1265"/>
      <c r="AJ39" s="1265"/>
    </row>
    <row r="40" spans="1:36" s="114" customFormat="1" x14ac:dyDescent="0.25">
      <c r="A40" s="106"/>
      <c r="B40" s="106"/>
      <c r="C40" s="106"/>
      <c r="D40" s="226"/>
      <c r="E40" s="226"/>
      <c r="F40" s="106"/>
      <c r="G40" s="106"/>
      <c r="H40" s="106"/>
      <c r="I40" s="106"/>
      <c r="J40" s="106"/>
      <c r="K40" s="575"/>
      <c r="L40" s="106"/>
      <c r="M40" s="106"/>
      <c r="N40" s="575"/>
      <c r="O40" s="106"/>
      <c r="P40" s="106"/>
      <c r="Q40" s="575"/>
      <c r="R40" s="106"/>
      <c r="S40" s="106"/>
      <c r="T40" s="575"/>
      <c r="U40" s="106"/>
      <c r="V40" s="106"/>
      <c r="W40" s="106"/>
      <c r="X40" s="106"/>
      <c r="Y40" s="106"/>
      <c r="Z40" s="106"/>
      <c r="AA40" s="106"/>
      <c r="AB40" s="106"/>
      <c r="AC40" s="106"/>
      <c r="AD40" s="106"/>
      <c r="AF40" s="446"/>
      <c r="AG40" s="446"/>
      <c r="AH40" s="106"/>
      <c r="AI40" s="1265"/>
      <c r="AJ40" s="1265"/>
    </row>
    <row r="41" spans="1:36" s="114" customFormat="1" x14ac:dyDescent="0.25">
      <c r="A41" s="106"/>
      <c r="B41" s="106"/>
      <c r="C41" s="106"/>
      <c r="D41" s="226"/>
      <c r="E41" s="226"/>
      <c r="F41" s="106"/>
      <c r="G41" s="106"/>
      <c r="H41" s="106"/>
      <c r="I41" s="106"/>
      <c r="J41" s="106"/>
      <c r="K41" s="575"/>
      <c r="L41" s="106"/>
      <c r="M41" s="106"/>
      <c r="N41" s="575"/>
      <c r="O41" s="106"/>
      <c r="P41" s="106"/>
      <c r="Q41" s="575"/>
      <c r="R41" s="106"/>
      <c r="S41" s="106"/>
      <c r="T41" s="575"/>
      <c r="U41" s="106"/>
      <c r="V41" s="106"/>
      <c r="W41" s="106"/>
      <c r="X41" s="106"/>
      <c r="Y41" s="106"/>
      <c r="Z41" s="106"/>
      <c r="AA41" s="106"/>
      <c r="AB41" s="106"/>
      <c r="AC41" s="106"/>
      <c r="AD41" s="106"/>
      <c r="AF41" s="446"/>
      <c r="AG41" s="446"/>
      <c r="AH41" s="106"/>
      <c r="AI41" s="1265"/>
      <c r="AJ41" s="1265"/>
    </row>
    <row r="42" spans="1:36" s="114" customFormat="1" x14ac:dyDescent="0.25">
      <c r="A42" s="106"/>
      <c r="B42" s="106"/>
      <c r="C42" s="106"/>
      <c r="D42" s="226"/>
      <c r="E42" s="226"/>
      <c r="F42" s="106"/>
      <c r="G42" s="106"/>
      <c r="H42" s="106"/>
      <c r="I42" s="106"/>
      <c r="J42" s="106"/>
      <c r="K42" s="575"/>
      <c r="L42" s="106"/>
      <c r="M42" s="106"/>
      <c r="N42" s="575"/>
      <c r="O42" s="106"/>
      <c r="P42" s="106"/>
      <c r="Q42" s="575"/>
      <c r="R42" s="106"/>
      <c r="S42" s="106"/>
      <c r="T42" s="575"/>
      <c r="U42" s="106"/>
      <c r="V42" s="106"/>
      <c r="W42" s="106"/>
      <c r="X42" s="106"/>
      <c r="Y42" s="106"/>
      <c r="Z42" s="106"/>
      <c r="AA42" s="106"/>
      <c r="AB42" s="106"/>
      <c r="AC42" s="106"/>
      <c r="AD42" s="106"/>
      <c r="AF42" s="446"/>
      <c r="AG42" s="446"/>
      <c r="AH42" s="106"/>
      <c r="AI42" s="1265"/>
      <c r="AJ42" s="1265"/>
    </row>
    <row r="43" spans="1:36" s="114" customFormat="1" x14ac:dyDescent="0.25">
      <c r="A43" s="106"/>
      <c r="B43" s="106"/>
      <c r="C43" s="106"/>
      <c r="D43" s="226"/>
      <c r="E43" s="226"/>
      <c r="F43" s="106"/>
      <c r="G43" s="106"/>
      <c r="H43" s="106"/>
      <c r="I43" s="106"/>
      <c r="J43" s="106"/>
      <c r="K43" s="575"/>
      <c r="L43" s="106"/>
      <c r="M43" s="106"/>
      <c r="N43" s="575"/>
      <c r="O43" s="106"/>
      <c r="P43" s="106"/>
      <c r="Q43" s="575"/>
      <c r="R43" s="106"/>
      <c r="S43" s="106"/>
      <c r="T43" s="575"/>
      <c r="U43" s="106"/>
      <c r="V43" s="106"/>
      <c r="W43" s="106"/>
      <c r="X43" s="106"/>
      <c r="Y43" s="106"/>
      <c r="Z43" s="106"/>
      <c r="AA43" s="106"/>
      <c r="AB43" s="106"/>
      <c r="AC43" s="106"/>
      <c r="AD43" s="106"/>
      <c r="AF43" s="446"/>
      <c r="AG43" s="446"/>
      <c r="AH43" s="106"/>
      <c r="AI43" s="1265"/>
      <c r="AJ43" s="1265"/>
    </row>
    <row r="44" spans="1:36" s="114" customFormat="1" x14ac:dyDescent="0.25">
      <c r="A44" s="106"/>
      <c r="B44" s="106"/>
      <c r="C44" s="106"/>
      <c r="D44" s="226"/>
      <c r="E44" s="226"/>
      <c r="F44" s="106"/>
      <c r="G44" s="106"/>
      <c r="H44" s="106"/>
      <c r="I44" s="106"/>
      <c r="J44" s="106"/>
      <c r="K44" s="575"/>
      <c r="L44" s="106"/>
      <c r="M44" s="106"/>
      <c r="N44" s="575"/>
      <c r="O44" s="106"/>
      <c r="P44" s="106"/>
      <c r="Q44" s="575"/>
      <c r="R44" s="106"/>
      <c r="S44" s="106"/>
      <c r="T44" s="575"/>
      <c r="U44" s="106"/>
      <c r="V44" s="106"/>
      <c r="W44" s="106"/>
      <c r="X44" s="106"/>
      <c r="Y44" s="106"/>
      <c r="Z44" s="106"/>
      <c r="AA44" s="106"/>
      <c r="AB44" s="106"/>
      <c r="AC44" s="106"/>
      <c r="AD44" s="106"/>
      <c r="AF44" s="446"/>
      <c r="AG44" s="446"/>
      <c r="AH44" s="106"/>
      <c r="AI44" s="1265"/>
      <c r="AJ44" s="1265"/>
    </row>
    <row r="45" spans="1:36" s="114" customFormat="1" x14ac:dyDescent="0.25">
      <c r="A45" s="106"/>
      <c r="B45" s="106"/>
      <c r="C45" s="106"/>
      <c r="D45" s="226"/>
      <c r="E45" s="226"/>
      <c r="F45" s="106"/>
      <c r="G45" s="106"/>
      <c r="H45" s="106"/>
      <c r="I45" s="106"/>
      <c r="J45" s="106"/>
      <c r="K45" s="575"/>
      <c r="L45" s="106"/>
      <c r="M45" s="106"/>
      <c r="N45" s="575"/>
      <c r="O45" s="106"/>
      <c r="P45" s="106"/>
      <c r="Q45" s="575"/>
      <c r="R45" s="106"/>
      <c r="S45" s="106"/>
      <c r="T45" s="575"/>
      <c r="U45" s="106"/>
      <c r="V45" s="106"/>
      <c r="W45" s="106"/>
      <c r="X45" s="106"/>
      <c r="Y45" s="106"/>
      <c r="Z45" s="106"/>
      <c r="AA45" s="106"/>
      <c r="AB45" s="106"/>
      <c r="AC45" s="106"/>
      <c r="AD45" s="106"/>
      <c r="AF45" s="446"/>
      <c r="AG45" s="446"/>
      <c r="AH45" s="106"/>
      <c r="AI45" s="1265"/>
      <c r="AJ45" s="1265"/>
    </row>
    <row r="46" spans="1:36" s="114" customFormat="1" x14ac:dyDescent="0.25">
      <c r="A46" s="106"/>
      <c r="B46" s="106"/>
      <c r="C46" s="106"/>
      <c r="D46" s="226"/>
      <c r="E46" s="226"/>
      <c r="F46" s="106"/>
      <c r="G46" s="106"/>
      <c r="H46" s="106"/>
      <c r="I46" s="106"/>
      <c r="J46" s="106"/>
      <c r="K46" s="575"/>
      <c r="L46" s="106"/>
      <c r="M46" s="106"/>
      <c r="N46" s="575"/>
      <c r="O46" s="106"/>
      <c r="P46" s="106"/>
      <c r="Q46" s="575"/>
      <c r="R46" s="106"/>
      <c r="S46" s="106"/>
      <c r="T46" s="575"/>
      <c r="U46" s="106"/>
      <c r="V46" s="106"/>
      <c r="W46" s="106"/>
      <c r="X46" s="106"/>
      <c r="Y46" s="106"/>
      <c r="Z46" s="106"/>
      <c r="AA46" s="106"/>
      <c r="AB46" s="106"/>
      <c r="AC46" s="106"/>
      <c r="AD46" s="106"/>
      <c r="AF46" s="446"/>
      <c r="AG46" s="446"/>
      <c r="AH46" s="106"/>
      <c r="AI46" s="1265"/>
      <c r="AJ46" s="1265"/>
    </row>
    <row r="47" spans="1:36" s="114" customFormat="1" x14ac:dyDescent="0.25">
      <c r="A47" s="106"/>
      <c r="B47" s="106"/>
      <c r="C47" s="106"/>
      <c r="D47" s="226"/>
      <c r="E47" s="226"/>
      <c r="F47" s="106"/>
      <c r="G47" s="106"/>
      <c r="H47" s="106"/>
      <c r="I47" s="106"/>
      <c r="J47" s="106"/>
      <c r="K47" s="575"/>
      <c r="L47" s="106"/>
      <c r="M47" s="106"/>
      <c r="N47" s="575"/>
      <c r="O47" s="106"/>
      <c r="P47" s="106"/>
      <c r="Q47" s="575"/>
      <c r="R47" s="106"/>
      <c r="S47" s="106"/>
      <c r="T47" s="575"/>
      <c r="U47" s="106"/>
      <c r="V47" s="106"/>
      <c r="W47" s="106"/>
      <c r="X47" s="106"/>
      <c r="Y47" s="106"/>
      <c r="Z47" s="106"/>
      <c r="AA47" s="106"/>
      <c r="AB47" s="106"/>
      <c r="AC47" s="106"/>
      <c r="AD47" s="106"/>
      <c r="AF47" s="446"/>
      <c r="AG47" s="446"/>
      <c r="AH47" s="106"/>
      <c r="AI47" s="1265"/>
      <c r="AJ47" s="1265"/>
    </row>
    <row r="48" spans="1:36" s="114" customFormat="1" x14ac:dyDescent="0.25">
      <c r="A48" s="106"/>
      <c r="B48" s="106"/>
      <c r="C48" s="106"/>
      <c r="D48" s="226"/>
      <c r="E48" s="226"/>
      <c r="F48" s="106"/>
      <c r="G48" s="106"/>
      <c r="H48" s="106"/>
      <c r="I48" s="106"/>
      <c r="J48" s="106"/>
      <c r="K48" s="575"/>
      <c r="L48" s="106"/>
      <c r="M48" s="106"/>
      <c r="N48" s="575"/>
      <c r="O48" s="106"/>
      <c r="P48" s="106"/>
      <c r="Q48" s="575"/>
      <c r="R48" s="106"/>
      <c r="S48" s="106"/>
      <c r="T48" s="575"/>
      <c r="U48" s="106"/>
      <c r="V48" s="106"/>
      <c r="W48" s="106"/>
      <c r="X48" s="106"/>
      <c r="Y48" s="106"/>
      <c r="Z48" s="106"/>
      <c r="AA48" s="106"/>
      <c r="AB48" s="106"/>
      <c r="AC48" s="106"/>
      <c r="AD48" s="106"/>
      <c r="AF48" s="446"/>
      <c r="AG48" s="446"/>
      <c r="AH48" s="106"/>
      <c r="AI48" s="1265"/>
      <c r="AJ48" s="1265"/>
    </row>
    <row r="49" spans="1:36" s="114" customFormat="1" x14ac:dyDescent="0.25">
      <c r="A49" s="106"/>
      <c r="B49" s="106"/>
      <c r="C49" s="106"/>
      <c r="D49" s="106"/>
      <c r="E49" s="106"/>
      <c r="F49" s="106"/>
      <c r="G49" s="106"/>
      <c r="H49" s="106"/>
      <c r="I49" s="106"/>
      <c r="J49" s="106"/>
      <c r="K49" s="575"/>
      <c r="L49" s="106"/>
      <c r="M49" s="106"/>
      <c r="N49" s="575"/>
      <c r="O49" s="106"/>
      <c r="P49" s="106"/>
      <c r="Q49" s="575"/>
      <c r="R49" s="106"/>
      <c r="S49" s="106"/>
      <c r="T49" s="575"/>
      <c r="U49" s="106"/>
      <c r="V49" s="106"/>
      <c r="W49" s="106"/>
      <c r="X49" s="106"/>
      <c r="Y49" s="106"/>
      <c r="Z49" s="106"/>
      <c r="AA49" s="106"/>
      <c r="AB49" s="106"/>
      <c r="AC49" s="106"/>
      <c r="AD49" s="106"/>
      <c r="AF49" s="446"/>
      <c r="AG49" s="446"/>
      <c r="AH49" s="106"/>
      <c r="AI49" s="1265"/>
      <c r="AJ49" s="1265"/>
    </row>
    <row r="50" spans="1:36" s="114" customFormat="1" x14ac:dyDescent="0.25">
      <c r="A50" s="106"/>
      <c r="B50" s="106"/>
      <c r="C50" s="106"/>
      <c r="D50" s="106"/>
      <c r="E50" s="106"/>
      <c r="F50" s="106"/>
      <c r="G50" s="106"/>
      <c r="H50" s="106"/>
      <c r="I50" s="106"/>
      <c r="J50" s="106"/>
      <c r="K50" s="575"/>
      <c r="L50" s="106"/>
      <c r="M50" s="106"/>
      <c r="N50" s="575"/>
      <c r="O50" s="106"/>
      <c r="P50" s="106"/>
      <c r="Q50" s="575"/>
      <c r="R50" s="106"/>
      <c r="S50" s="106"/>
      <c r="T50" s="575"/>
      <c r="U50" s="106"/>
      <c r="V50" s="106"/>
      <c r="W50" s="106"/>
      <c r="X50" s="106"/>
      <c r="Y50" s="106"/>
      <c r="Z50" s="106"/>
      <c r="AA50" s="106"/>
      <c r="AB50" s="106"/>
      <c r="AC50" s="106"/>
      <c r="AD50" s="106"/>
      <c r="AF50" s="446"/>
      <c r="AG50" s="446"/>
      <c r="AH50" s="106"/>
      <c r="AI50" s="1265"/>
      <c r="AJ50" s="1265"/>
    </row>
    <row r="51" spans="1:36" s="114" customFormat="1" x14ac:dyDescent="0.25">
      <c r="A51" s="106"/>
      <c r="B51" s="106"/>
      <c r="C51" s="106"/>
      <c r="D51" s="106"/>
      <c r="E51" s="106"/>
      <c r="F51" s="106"/>
      <c r="G51" s="106"/>
      <c r="H51" s="106"/>
      <c r="I51" s="106"/>
      <c r="J51" s="106"/>
      <c r="K51" s="575"/>
      <c r="L51" s="106"/>
      <c r="M51" s="106"/>
      <c r="N51" s="575"/>
      <c r="O51" s="106"/>
      <c r="P51" s="106"/>
      <c r="Q51" s="575"/>
      <c r="R51" s="106"/>
      <c r="S51" s="106"/>
      <c r="T51" s="575"/>
      <c r="U51" s="106"/>
      <c r="V51" s="106"/>
      <c r="W51" s="106"/>
      <c r="X51" s="106"/>
      <c r="Y51" s="106"/>
      <c r="Z51" s="106"/>
      <c r="AA51" s="106"/>
      <c r="AB51" s="106"/>
      <c r="AC51" s="106"/>
      <c r="AD51" s="106"/>
      <c r="AF51" s="446"/>
      <c r="AG51" s="446"/>
      <c r="AH51" s="106"/>
      <c r="AI51" s="1265"/>
      <c r="AJ51" s="1265"/>
    </row>
    <row r="52" spans="1:36" s="114" customFormat="1" x14ac:dyDescent="0.25">
      <c r="A52" s="106"/>
      <c r="B52" s="106"/>
      <c r="C52" s="106"/>
      <c r="D52" s="106"/>
      <c r="E52" s="106"/>
      <c r="F52" s="106"/>
      <c r="G52" s="106"/>
      <c r="H52" s="106"/>
      <c r="I52" s="106"/>
      <c r="J52" s="106"/>
      <c r="K52" s="575"/>
      <c r="L52" s="106"/>
      <c r="M52" s="106"/>
      <c r="N52" s="575"/>
      <c r="O52" s="106"/>
      <c r="P52" s="106"/>
      <c r="Q52" s="575"/>
      <c r="R52" s="106"/>
      <c r="S52" s="106"/>
      <c r="T52" s="575"/>
      <c r="U52" s="106"/>
      <c r="V52" s="106"/>
      <c r="W52" s="106"/>
      <c r="X52" s="106"/>
      <c r="Y52" s="106"/>
      <c r="Z52" s="106"/>
      <c r="AA52" s="106"/>
      <c r="AB52" s="106"/>
      <c r="AC52" s="106"/>
      <c r="AD52" s="106"/>
      <c r="AF52" s="446"/>
      <c r="AG52" s="446"/>
      <c r="AH52" s="106"/>
      <c r="AI52" s="1265"/>
      <c r="AJ52" s="1265"/>
    </row>
    <row r="53" spans="1:36" s="114" customFormat="1" x14ac:dyDescent="0.25">
      <c r="A53" s="106"/>
      <c r="B53" s="106"/>
      <c r="C53" s="106"/>
      <c r="D53" s="106"/>
      <c r="E53" s="106"/>
      <c r="F53" s="106"/>
      <c r="G53" s="106"/>
      <c r="H53" s="106"/>
      <c r="I53" s="106"/>
      <c r="J53" s="106"/>
      <c r="K53" s="575"/>
      <c r="L53" s="106"/>
      <c r="M53" s="106"/>
      <c r="N53" s="575"/>
      <c r="O53" s="106"/>
      <c r="P53" s="106"/>
      <c r="Q53" s="575"/>
      <c r="R53" s="106"/>
      <c r="S53" s="106"/>
      <c r="T53" s="575"/>
      <c r="U53" s="106"/>
      <c r="V53" s="106"/>
      <c r="W53" s="106"/>
      <c r="X53" s="106"/>
      <c r="Y53" s="106"/>
      <c r="Z53" s="106"/>
      <c r="AA53" s="106"/>
      <c r="AB53" s="106"/>
      <c r="AC53" s="106"/>
      <c r="AD53" s="106"/>
      <c r="AF53" s="446"/>
      <c r="AG53" s="446"/>
      <c r="AH53" s="106"/>
      <c r="AI53" s="1265"/>
      <c r="AJ53" s="1265"/>
    </row>
    <row r="54" spans="1:36" s="114" customFormat="1" x14ac:dyDescent="0.25">
      <c r="A54" s="106"/>
      <c r="B54" s="106"/>
      <c r="C54" s="106"/>
      <c r="D54" s="106"/>
      <c r="E54" s="106"/>
      <c r="F54" s="106"/>
      <c r="G54" s="106"/>
      <c r="H54" s="106"/>
      <c r="I54" s="106"/>
      <c r="J54" s="106"/>
      <c r="K54" s="575"/>
      <c r="L54" s="106"/>
      <c r="M54" s="106"/>
      <c r="N54" s="575"/>
      <c r="O54" s="106"/>
      <c r="P54" s="106"/>
      <c r="Q54" s="575"/>
      <c r="R54" s="106"/>
      <c r="S54" s="106"/>
      <c r="T54" s="575"/>
      <c r="U54" s="106"/>
      <c r="V54" s="106"/>
      <c r="W54" s="106"/>
      <c r="X54" s="106"/>
      <c r="Y54" s="106"/>
      <c r="Z54" s="106"/>
      <c r="AA54" s="106"/>
      <c r="AB54" s="106"/>
      <c r="AC54" s="106"/>
      <c r="AD54" s="106"/>
      <c r="AF54" s="446"/>
      <c r="AG54" s="446"/>
      <c r="AH54" s="106"/>
      <c r="AI54" s="1265"/>
      <c r="AJ54" s="1265"/>
    </row>
    <row r="55" spans="1:36" s="114" customFormat="1" x14ac:dyDescent="0.25">
      <c r="A55" s="106"/>
      <c r="B55" s="106"/>
      <c r="C55" s="106"/>
      <c r="D55" s="106"/>
      <c r="E55" s="106"/>
      <c r="F55" s="106"/>
      <c r="G55" s="106"/>
      <c r="H55" s="106"/>
      <c r="I55" s="106"/>
      <c r="J55" s="106"/>
      <c r="K55" s="575"/>
      <c r="L55" s="106"/>
      <c r="M55" s="106"/>
      <c r="N55" s="575"/>
      <c r="O55" s="106"/>
      <c r="P55" s="106"/>
      <c r="Q55" s="575"/>
      <c r="R55" s="106"/>
      <c r="S55" s="106"/>
      <c r="T55" s="575"/>
      <c r="U55" s="106"/>
      <c r="V55" s="106"/>
      <c r="W55" s="106"/>
      <c r="X55" s="106"/>
      <c r="Y55" s="106"/>
      <c r="Z55" s="106"/>
      <c r="AA55" s="106"/>
      <c r="AB55" s="106"/>
      <c r="AC55" s="106"/>
      <c r="AD55" s="106"/>
      <c r="AF55" s="446"/>
      <c r="AG55" s="446"/>
      <c r="AH55" s="106"/>
      <c r="AI55" s="1265"/>
      <c r="AJ55" s="1265"/>
    </row>
    <row r="56" spans="1:36" s="114" customFormat="1" x14ac:dyDescent="0.25">
      <c r="A56" s="106"/>
      <c r="B56" s="106"/>
      <c r="C56" s="106"/>
      <c r="D56" s="106"/>
      <c r="E56" s="106"/>
      <c r="F56" s="106"/>
      <c r="G56" s="106"/>
      <c r="H56" s="106"/>
      <c r="I56" s="106"/>
      <c r="J56" s="106"/>
      <c r="K56" s="575"/>
      <c r="L56" s="106"/>
      <c r="M56" s="106"/>
      <c r="N56" s="575"/>
      <c r="O56" s="106"/>
      <c r="P56" s="106"/>
      <c r="Q56" s="575"/>
      <c r="R56" s="106"/>
      <c r="S56" s="106"/>
      <c r="T56" s="575"/>
      <c r="U56" s="106"/>
      <c r="V56" s="106"/>
      <c r="W56" s="106"/>
      <c r="X56" s="106"/>
      <c r="Y56" s="106"/>
      <c r="Z56" s="106"/>
      <c r="AA56" s="106"/>
      <c r="AB56" s="106"/>
      <c r="AC56" s="106"/>
      <c r="AD56" s="106"/>
      <c r="AF56" s="446"/>
      <c r="AG56" s="446"/>
      <c r="AH56" s="106"/>
      <c r="AI56" s="1265"/>
      <c r="AJ56" s="1265"/>
    </row>
    <row r="57" spans="1:36" s="114" customFormat="1" x14ac:dyDescent="0.25">
      <c r="A57" s="106"/>
      <c r="B57" s="106"/>
      <c r="C57" s="106"/>
      <c r="D57" s="106"/>
      <c r="E57" s="106"/>
      <c r="F57" s="106"/>
      <c r="G57" s="106"/>
      <c r="H57" s="106"/>
      <c r="I57" s="106"/>
      <c r="J57" s="106"/>
      <c r="K57" s="575"/>
      <c r="L57" s="106"/>
      <c r="M57" s="106"/>
      <c r="N57" s="575"/>
      <c r="O57" s="106"/>
      <c r="P57" s="106"/>
      <c r="Q57" s="575"/>
      <c r="R57" s="106"/>
      <c r="S57" s="106"/>
      <c r="T57" s="575"/>
      <c r="U57" s="106"/>
      <c r="V57" s="106"/>
      <c r="W57" s="106"/>
      <c r="X57" s="106"/>
      <c r="Y57" s="106"/>
      <c r="Z57" s="106"/>
      <c r="AA57" s="106"/>
      <c r="AB57" s="106"/>
      <c r="AC57" s="106"/>
      <c r="AD57" s="106"/>
      <c r="AF57" s="446"/>
      <c r="AG57" s="446"/>
      <c r="AH57" s="106"/>
      <c r="AI57" s="1265"/>
      <c r="AJ57" s="1265"/>
    </row>
    <row r="58" spans="1:36" s="114" customFormat="1" x14ac:dyDescent="0.25">
      <c r="A58" s="106"/>
      <c r="B58" s="106"/>
      <c r="C58" s="106"/>
      <c r="D58" s="106"/>
      <c r="E58" s="106"/>
      <c r="F58" s="106"/>
      <c r="G58" s="106"/>
      <c r="H58" s="106"/>
      <c r="I58" s="106"/>
      <c r="J58" s="106"/>
      <c r="K58" s="575"/>
      <c r="L58" s="106"/>
      <c r="M58" s="106"/>
      <c r="N58" s="575"/>
      <c r="O58" s="106"/>
      <c r="P58" s="106"/>
      <c r="Q58" s="575"/>
      <c r="R58" s="106"/>
      <c r="S58" s="106"/>
      <c r="T58" s="575"/>
      <c r="U58" s="106"/>
      <c r="V58" s="106"/>
      <c r="W58" s="106"/>
      <c r="X58" s="106"/>
      <c r="Y58" s="106"/>
      <c r="Z58" s="106"/>
      <c r="AA58" s="106"/>
      <c r="AB58" s="106"/>
      <c r="AC58" s="106"/>
      <c r="AD58" s="106"/>
      <c r="AF58" s="446"/>
      <c r="AG58" s="446"/>
      <c r="AH58" s="106"/>
      <c r="AI58" s="1265"/>
      <c r="AJ58" s="1265"/>
    </row>
    <row r="59" spans="1:36" s="114" customFormat="1" x14ac:dyDescent="0.25">
      <c r="A59" s="106"/>
      <c r="B59" s="106"/>
      <c r="C59" s="106"/>
      <c r="D59" s="106"/>
      <c r="E59" s="106"/>
      <c r="F59" s="106"/>
      <c r="G59" s="106"/>
      <c r="H59" s="106"/>
      <c r="I59" s="106"/>
      <c r="J59" s="106"/>
      <c r="K59" s="575"/>
      <c r="L59" s="106"/>
      <c r="M59" s="106"/>
      <c r="N59" s="575"/>
      <c r="O59" s="106"/>
      <c r="P59" s="106"/>
      <c r="Q59" s="575"/>
      <c r="R59" s="106"/>
      <c r="S59" s="106"/>
      <c r="T59" s="575"/>
      <c r="U59" s="106"/>
      <c r="V59" s="106"/>
      <c r="W59" s="106"/>
      <c r="X59" s="106"/>
      <c r="Y59" s="106"/>
      <c r="Z59" s="106"/>
      <c r="AA59" s="106"/>
      <c r="AB59" s="106"/>
      <c r="AC59" s="106"/>
      <c r="AD59" s="106"/>
      <c r="AF59" s="446"/>
      <c r="AG59" s="446"/>
      <c r="AH59" s="106"/>
      <c r="AI59" s="1265"/>
      <c r="AJ59" s="1265"/>
    </row>
    <row r="60" spans="1:36" s="114" customFormat="1" x14ac:dyDescent="0.25">
      <c r="A60" s="106"/>
      <c r="B60" s="106"/>
      <c r="C60" s="106"/>
      <c r="D60" s="106"/>
      <c r="E60" s="106"/>
      <c r="F60" s="106"/>
      <c r="G60" s="106"/>
      <c r="H60" s="106"/>
      <c r="I60" s="106"/>
      <c r="J60" s="106"/>
      <c r="K60" s="575"/>
      <c r="L60" s="106"/>
      <c r="M60" s="106"/>
      <c r="N60" s="575"/>
      <c r="O60" s="106"/>
      <c r="P60" s="106"/>
      <c r="Q60" s="575"/>
      <c r="R60" s="106"/>
      <c r="S60" s="106"/>
      <c r="T60" s="575"/>
      <c r="U60" s="106"/>
      <c r="V60" s="106"/>
      <c r="W60" s="106"/>
      <c r="X60" s="106"/>
      <c r="Y60" s="106"/>
      <c r="Z60" s="106"/>
      <c r="AA60" s="106"/>
      <c r="AB60" s="106"/>
      <c r="AC60" s="106"/>
      <c r="AD60" s="106"/>
      <c r="AF60" s="446"/>
      <c r="AG60" s="446"/>
      <c r="AH60" s="106"/>
      <c r="AI60" s="1265"/>
      <c r="AJ60" s="1265"/>
    </row>
    <row r="61" spans="1:36" s="114" customFormat="1" x14ac:dyDescent="0.25">
      <c r="A61" s="106"/>
      <c r="B61" s="106"/>
      <c r="C61" s="106"/>
      <c r="D61" s="106"/>
      <c r="E61" s="106"/>
      <c r="F61" s="106"/>
      <c r="G61" s="106"/>
      <c r="H61" s="106"/>
      <c r="I61" s="106"/>
      <c r="J61" s="106"/>
      <c r="K61" s="575"/>
      <c r="L61" s="106"/>
      <c r="M61" s="106"/>
      <c r="N61" s="575"/>
      <c r="O61" s="106"/>
      <c r="P61" s="106"/>
      <c r="Q61" s="575"/>
      <c r="R61" s="106"/>
      <c r="S61" s="106"/>
      <c r="T61" s="575"/>
      <c r="U61" s="106"/>
      <c r="V61" s="106"/>
      <c r="W61" s="106"/>
      <c r="X61" s="106"/>
      <c r="Y61" s="106"/>
      <c r="Z61" s="106"/>
      <c r="AA61" s="106"/>
      <c r="AB61" s="106"/>
      <c r="AC61" s="106"/>
      <c r="AD61" s="106"/>
      <c r="AF61" s="446"/>
      <c r="AG61" s="446"/>
      <c r="AH61" s="106"/>
      <c r="AI61" s="1265"/>
      <c r="AJ61" s="1265"/>
    </row>
    <row r="62" spans="1:36" s="114" customFormat="1" x14ac:dyDescent="0.25">
      <c r="A62" s="106"/>
      <c r="B62" s="106"/>
      <c r="C62" s="106"/>
      <c r="D62" s="106"/>
      <c r="E62" s="106"/>
      <c r="F62" s="106"/>
      <c r="G62" s="106"/>
      <c r="H62" s="106"/>
      <c r="I62" s="106"/>
      <c r="J62" s="106"/>
      <c r="K62" s="575"/>
      <c r="L62" s="106"/>
      <c r="M62" s="106"/>
      <c r="N62" s="575"/>
      <c r="O62" s="106"/>
      <c r="P62" s="106"/>
      <c r="Q62" s="575"/>
      <c r="R62" s="106"/>
      <c r="S62" s="106"/>
      <c r="T62" s="575"/>
      <c r="U62" s="106"/>
      <c r="V62" s="106"/>
      <c r="W62" s="106"/>
      <c r="X62" s="106"/>
      <c r="Y62" s="106"/>
      <c r="Z62" s="106"/>
      <c r="AA62" s="106"/>
      <c r="AB62" s="106"/>
      <c r="AC62" s="106"/>
      <c r="AD62" s="106"/>
      <c r="AF62" s="446"/>
      <c r="AG62" s="446"/>
      <c r="AH62" s="106"/>
      <c r="AI62" s="1265"/>
      <c r="AJ62" s="1265"/>
    </row>
    <row r="63" spans="1:36" s="114" customFormat="1" x14ac:dyDescent="0.25">
      <c r="A63" s="106"/>
      <c r="B63" s="106"/>
      <c r="C63" s="106"/>
      <c r="D63" s="106"/>
      <c r="E63" s="106"/>
      <c r="F63" s="106"/>
      <c r="G63" s="106"/>
      <c r="H63" s="106"/>
      <c r="I63" s="106"/>
      <c r="J63" s="106"/>
      <c r="K63" s="575"/>
      <c r="L63" s="106"/>
      <c r="M63" s="106"/>
      <c r="N63" s="575"/>
      <c r="O63" s="106"/>
      <c r="P63" s="106"/>
      <c r="Q63" s="575"/>
      <c r="R63" s="106"/>
      <c r="S63" s="106"/>
      <c r="T63" s="575"/>
      <c r="U63" s="106"/>
      <c r="V63" s="106"/>
      <c r="W63" s="106"/>
      <c r="X63" s="106"/>
      <c r="Y63" s="106"/>
      <c r="Z63" s="106"/>
      <c r="AA63" s="106"/>
      <c r="AB63" s="106"/>
      <c r="AC63" s="106"/>
      <c r="AD63" s="106"/>
      <c r="AF63" s="446"/>
      <c r="AG63" s="446"/>
      <c r="AH63" s="106"/>
      <c r="AI63" s="1265"/>
      <c r="AJ63" s="1265"/>
    </row>
    <row r="64" spans="1:36" s="114" customFormat="1" x14ac:dyDescent="0.25">
      <c r="A64" s="106"/>
      <c r="B64" s="106"/>
      <c r="C64" s="106"/>
      <c r="D64" s="106"/>
      <c r="E64" s="106"/>
      <c r="F64" s="106"/>
      <c r="G64" s="106"/>
      <c r="H64" s="106"/>
      <c r="I64" s="106"/>
      <c r="J64" s="106"/>
      <c r="K64" s="575"/>
      <c r="L64" s="106"/>
      <c r="M64" s="106"/>
      <c r="N64" s="575"/>
      <c r="O64" s="106"/>
      <c r="P64" s="106"/>
      <c r="Q64" s="575"/>
      <c r="R64" s="106"/>
      <c r="S64" s="106"/>
      <c r="T64" s="575"/>
      <c r="U64" s="106"/>
      <c r="V64" s="106"/>
      <c r="W64" s="106"/>
      <c r="X64" s="106"/>
      <c r="Y64" s="106"/>
      <c r="Z64" s="106"/>
      <c r="AA64" s="106"/>
      <c r="AB64" s="106"/>
      <c r="AC64" s="106"/>
      <c r="AD64" s="106"/>
      <c r="AF64" s="446"/>
      <c r="AG64" s="446"/>
      <c r="AH64" s="106"/>
      <c r="AI64" s="1265"/>
      <c r="AJ64" s="1265"/>
    </row>
    <row r="65" spans="1:36" s="114" customFormat="1" x14ac:dyDescent="0.25">
      <c r="A65" s="106"/>
      <c r="B65" s="106"/>
      <c r="C65" s="106"/>
      <c r="D65" s="106"/>
      <c r="E65" s="106"/>
      <c r="F65" s="106"/>
      <c r="G65" s="106"/>
      <c r="H65" s="106"/>
      <c r="I65" s="106"/>
      <c r="J65" s="106"/>
      <c r="K65" s="575"/>
      <c r="L65" s="106"/>
      <c r="M65" s="106"/>
      <c r="N65" s="575"/>
      <c r="O65" s="106"/>
      <c r="P65" s="106"/>
      <c r="Q65" s="575"/>
      <c r="R65" s="106"/>
      <c r="S65" s="106"/>
      <c r="T65" s="575"/>
      <c r="U65" s="106"/>
      <c r="V65" s="106"/>
      <c r="W65" s="106"/>
      <c r="X65" s="106"/>
      <c r="Y65" s="106"/>
      <c r="Z65" s="106"/>
      <c r="AA65" s="106"/>
      <c r="AB65" s="106"/>
      <c r="AC65" s="106"/>
      <c r="AD65" s="106"/>
      <c r="AF65" s="446"/>
      <c r="AG65" s="446"/>
      <c r="AH65" s="106"/>
      <c r="AI65" s="1265"/>
      <c r="AJ65" s="1265"/>
    </row>
    <row r="66" spans="1:36" s="114" customFormat="1" x14ac:dyDescent="0.25">
      <c r="A66" s="106"/>
      <c r="B66" s="106"/>
      <c r="C66" s="106"/>
      <c r="D66" s="106"/>
      <c r="E66" s="106"/>
      <c r="F66" s="106"/>
      <c r="G66" s="106"/>
      <c r="H66" s="106"/>
      <c r="I66" s="106"/>
      <c r="J66" s="106"/>
      <c r="K66" s="575"/>
      <c r="L66" s="106"/>
      <c r="M66" s="106"/>
      <c r="N66" s="575"/>
      <c r="O66" s="106"/>
      <c r="P66" s="106"/>
      <c r="Q66" s="575"/>
      <c r="R66" s="106"/>
      <c r="S66" s="106"/>
      <c r="T66" s="575"/>
      <c r="U66" s="106"/>
      <c r="V66" s="106"/>
      <c r="W66" s="106"/>
      <c r="X66" s="106"/>
      <c r="Y66" s="106"/>
      <c r="Z66" s="106"/>
      <c r="AA66" s="106"/>
      <c r="AB66" s="106"/>
      <c r="AC66" s="106"/>
      <c r="AD66" s="106"/>
      <c r="AF66" s="446"/>
      <c r="AG66" s="446"/>
      <c r="AH66" s="106"/>
      <c r="AI66" s="1265"/>
      <c r="AJ66" s="1265"/>
    </row>
    <row r="67" spans="1:36" s="114" customFormat="1" x14ac:dyDescent="0.25">
      <c r="A67" s="106"/>
      <c r="B67" s="106"/>
      <c r="C67" s="106"/>
      <c r="D67" s="106"/>
      <c r="E67" s="106"/>
      <c r="F67" s="106"/>
      <c r="G67" s="106"/>
      <c r="H67" s="106"/>
      <c r="I67" s="106"/>
      <c r="J67" s="106"/>
      <c r="K67" s="575"/>
      <c r="L67" s="106"/>
      <c r="M67" s="106"/>
      <c r="N67" s="575"/>
      <c r="O67" s="106"/>
      <c r="P67" s="106"/>
      <c r="Q67" s="575"/>
      <c r="R67" s="106"/>
      <c r="S67" s="106"/>
      <c r="T67" s="575"/>
      <c r="U67" s="106"/>
      <c r="V67" s="106"/>
      <c r="W67" s="106"/>
      <c r="X67" s="106"/>
      <c r="Y67" s="106"/>
      <c r="Z67" s="106"/>
      <c r="AA67" s="106"/>
      <c r="AB67" s="106"/>
      <c r="AC67" s="106"/>
      <c r="AD67" s="106"/>
      <c r="AF67" s="446"/>
      <c r="AG67" s="446"/>
      <c r="AH67" s="106"/>
      <c r="AI67" s="1265"/>
      <c r="AJ67" s="1265"/>
    </row>
    <row r="68" spans="1:36" s="114" customFormat="1" x14ac:dyDescent="0.25">
      <c r="A68" s="106"/>
      <c r="B68" s="106"/>
      <c r="C68" s="106"/>
      <c r="D68" s="106"/>
      <c r="E68" s="106"/>
      <c r="F68" s="106"/>
      <c r="G68" s="106"/>
      <c r="H68" s="106"/>
      <c r="I68" s="106"/>
      <c r="J68" s="106"/>
      <c r="K68" s="575"/>
      <c r="L68" s="106"/>
      <c r="M68" s="106"/>
      <c r="N68" s="575"/>
      <c r="O68" s="106"/>
      <c r="P68" s="106"/>
      <c r="Q68" s="575"/>
      <c r="R68" s="106"/>
      <c r="S68" s="106"/>
      <c r="T68" s="575"/>
      <c r="U68" s="106"/>
      <c r="V68" s="106"/>
      <c r="W68" s="106"/>
      <c r="X68" s="106"/>
      <c r="Y68" s="106"/>
      <c r="Z68" s="106"/>
      <c r="AA68" s="106"/>
      <c r="AB68" s="106"/>
      <c r="AC68" s="106"/>
      <c r="AD68" s="106"/>
      <c r="AF68" s="446"/>
      <c r="AG68" s="446"/>
      <c r="AH68" s="106"/>
      <c r="AI68" s="1265"/>
      <c r="AJ68" s="1265"/>
    </row>
    <row r="69" spans="1:36" s="114" customFormat="1" x14ac:dyDescent="0.25">
      <c r="A69" s="106"/>
      <c r="B69" s="106"/>
      <c r="C69" s="106"/>
      <c r="D69" s="106"/>
      <c r="E69" s="106"/>
      <c r="F69" s="106"/>
      <c r="G69" s="106"/>
      <c r="H69" s="106"/>
      <c r="I69" s="106"/>
      <c r="J69" s="106"/>
      <c r="K69" s="575"/>
      <c r="L69" s="106"/>
      <c r="M69" s="106"/>
      <c r="N69" s="575"/>
      <c r="O69" s="106"/>
      <c r="P69" s="106"/>
      <c r="Q69" s="575"/>
      <c r="R69" s="106"/>
      <c r="S69" s="106"/>
      <c r="T69" s="575"/>
      <c r="U69" s="106"/>
      <c r="V69" s="106"/>
      <c r="W69" s="106"/>
      <c r="X69" s="106"/>
      <c r="Y69" s="106"/>
      <c r="Z69" s="106"/>
      <c r="AA69" s="106"/>
      <c r="AB69" s="106"/>
      <c r="AC69" s="106"/>
      <c r="AD69" s="106"/>
      <c r="AF69" s="446"/>
      <c r="AG69" s="446"/>
      <c r="AH69" s="106"/>
      <c r="AI69" s="1265"/>
      <c r="AJ69" s="1265"/>
    </row>
    <row r="70" spans="1:36" s="114" customFormat="1" x14ac:dyDescent="0.25">
      <c r="A70" s="106"/>
      <c r="B70" s="106"/>
      <c r="C70" s="106"/>
      <c r="D70" s="106"/>
      <c r="E70" s="106"/>
      <c r="F70" s="106"/>
      <c r="G70" s="106"/>
      <c r="H70" s="106"/>
      <c r="I70" s="106"/>
      <c r="J70" s="106"/>
      <c r="K70" s="575"/>
      <c r="L70" s="106"/>
      <c r="M70" s="106"/>
      <c r="N70" s="575"/>
      <c r="O70" s="106"/>
      <c r="P70" s="106"/>
      <c r="Q70" s="575"/>
      <c r="R70" s="106"/>
      <c r="S70" s="106"/>
      <c r="T70" s="575"/>
      <c r="U70" s="106"/>
      <c r="V70" s="106"/>
      <c r="W70" s="106"/>
      <c r="X70" s="106"/>
      <c r="Y70" s="106"/>
      <c r="Z70" s="106"/>
      <c r="AA70" s="106"/>
      <c r="AB70" s="106"/>
      <c r="AC70" s="106"/>
      <c r="AD70" s="106"/>
      <c r="AF70" s="446"/>
      <c r="AG70" s="446"/>
      <c r="AH70" s="106"/>
      <c r="AI70" s="1265"/>
      <c r="AJ70" s="1265"/>
    </row>
    <row r="71" spans="1:36" s="114" customFormat="1" x14ac:dyDescent="0.25">
      <c r="A71" s="106"/>
      <c r="B71" s="106"/>
      <c r="C71" s="106"/>
      <c r="D71" s="106"/>
      <c r="E71" s="106"/>
      <c r="F71" s="106"/>
      <c r="G71" s="106"/>
      <c r="H71" s="106"/>
      <c r="I71" s="106"/>
      <c r="J71" s="106"/>
      <c r="K71" s="575"/>
      <c r="L71" s="106"/>
      <c r="M71" s="106"/>
      <c r="N71" s="575"/>
      <c r="O71" s="106"/>
      <c r="P71" s="106"/>
      <c r="Q71" s="575"/>
      <c r="R71" s="106"/>
      <c r="S71" s="106"/>
      <c r="T71" s="575"/>
      <c r="U71" s="106"/>
      <c r="V71" s="106"/>
      <c r="W71" s="106"/>
      <c r="X71" s="106"/>
      <c r="Y71" s="106"/>
      <c r="Z71" s="106"/>
      <c r="AA71" s="106"/>
      <c r="AB71" s="106"/>
      <c r="AC71" s="106"/>
      <c r="AD71" s="106"/>
      <c r="AF71" s="446"/>
      <c r="AG71" s="446"/>
      <c r="AH71" s="106"/>
      <c r="AI71" s="1265"/>
      <c r="AJ71" s="1265"/>
    </row>
    <row r="72" spans="1:36" s="114" customFormat="1" x14ac:dyDescent="0.25">
      <c r="A72" s="106"/>
      <c r="B72" s="106"/>
      <c r="C72" s="106"/>
      <c r="D72" s="106"/>
      <c r="E72" s="106"/>
      <c r="F72" s="106"/>
      <c r="G72" s="106"/>
      <c r="H72" s="106"/>
      <c r="I72" s="106"/>
      <c r="J72" s="106"/>
      <c r="K72" s="575"/>
      <c r="L72" s="106"/>
      <c r="M72" s="106"/>
      <c r="N72" s="575"/>
      <c r="O72" s="106"/>
      <c r="P72" s="106"/>
      <c r="Q72" s="575"/>
      <c r="R72" s="106"/>
      <c r="S72" s="106"/>
      <c r="T72" s="575"/>
      <c r="U72" s="106"/>
      <c r="V72" s="106"/>
      <c r="W72" s="106"/>
      <c r="X72" s="106"/>
      <c r="Y72" s="106"/>
      <c r="Z72" s="106"/>
      <c r="AA72" s="106"/>
      <c r="AB72" s="106"/>
      <c r="AC72" s="106"/>
      <c r="AD72" s="106"/>
      <c r="AF72" s="446"/>
      <c r="AG72" s="446"/>
      <c r="AH72" s="106"/>
      <c r="AI72" s="1265"/>
      <c r="AJ72" s="1265"/>
    </row>
    <row r="73" spans="1:36" s="114" customFormat="1" x14ac:dyDescent="0.25">
      <c r="A73" s="106"/>
      <c r="B73" s="106"/>
      <c r="C73" s="106"/>
      <c r="D73" s="106"/>
      <c r="E73" s="106"/>
      <c r="F73" s="106"/>
      <c r="G73" s="106"/>
      <c r="H73" s="106"/>
      <c r="I73" s="106"/>
      <c r="J73" s="106"/>
      <c r="K73" s="575"/>
      <c r="L73" s="106"/>
      <c r="M73" s="106"/>
      <c r="N73" s="575"/>
      <c r="O73" s="106"/>
      <c r="P73" s="106"/>
      <c r="Q73" s="575"/>
      <c r="R73" s="106"/>
      <c r="S73" s="106"/>
      <c r="T73" s="575"/>
      <c r="U73" s="106"/>
      <c r="V73" s="106"/>
      <c r="W73" s="106"/>
      <c r="X73" s="106"/>
      <c r="Y73" s="106"/>
      <c r="Z73" s="106"/>
      <c r="AA73" s="106"/>
      <c r="AB73" s="106"/>
      <c r="AC73" s="106"/>
      <c r="AD73" s="106"/>
      <c r="AF73" s="446"/>
      <c r="AG73" s="446"/>
      <c r="AH73" s="106"/>
      <c r="AI73" s="1265"/>
      <c r="AJ73" s="1265"/>
    </row>
    <row r="74" spans="1:36" s="114" customFormat="1" x14ac:dyDescent="0.25">
      <c r="A74" s="106"/>
      <c r="B74" s="106"/>
      <c r="C74" s="106"/>
      <c r="D74" s="106"/>
      <c r="E74" s="106"/>
      <c r="F74" s="106"/>
      <c r="G74" s="106"/>
      <c r="H74" s="106"/>
      <c r="I74" s="106"/>
      <c r="J74" s="106"/>
      <c r="K74" s="575"/>
      <c r="L74" s="106"/>
      <c r="M74" s="106"/>
      <c r="N74" s="575"/>
      <c r="O74" s="106"/>
      <c r="P74" s="106"/>
      <c r="Q74" s="575"/>
      <c r="R74" s="106"/>
      <c r="S74" s="106"/>
      <c r="T74" s="575"/>
      <c r="U74" s="106"/>
      <c r="V74" s="106"/>
      <c r="W74" s="106"/>
      <c r="X74" s="106"/>
      <c r="Y74" s="106"/>
      <c r="Z74" s="106"/>
      <c r="AA74" s="106"/>
      <c r="AB74" s="106"/>
      <c r="AC74" s="106"/>
      <c r="AD74" s="106"/>
      <c r="AF74" s="446"/>
      <c r="AG74" s="446"/>
      <c r="AH74" s="106"/>
      <c r="AI74" s="1265"/>
      <c r="AJ74" s="1265"/>
    </row>
    <row r="75" spans="1:36" s="114" customFormat="1" x14ac:dyDescent="0.25">
      <c r="A75" s="106"/>
      <c r="B75" s="106"/>
      <c r="C75" s="106"/>
      <c r="D75" s="106"/>
      <c r="E75" s="106"/>
      <c r="F75" s="106"/>
      <c r="G75" s="106"/>
      <c r="H75" s="106"/>
      <c r="I75" s="106"/>
      <c r="J75" s="106"/>
      <c r="K75" s="575"/>
      <c r="L75" s="835">
        <v>2.24E-2</v>
      </c>
      <c r="M75" s="106"/>
      <c r="N75" s="575"/>
      <c r="O75" s="106"/>
      <c r="P75" s="106"/>
      <c r="Q75" s="575"/>
      <c r="R75" s="106"/>
      <c r="S75" s="106"/>
      <c r="T75" s="575"/>
      <c r="U75" s="106"/>
      <c r="V75" s="106"/>
      <c r="W75" s="106"/>
      <c r="X75" s="106"/>
      <c r="Y75" s="106"/>
      <c r="Z75" s="106"/>
      <c r="AA75" s="106"/>
      <c r="AB75" s="106"/>
      <c r="AC75" s="106"/>
      <c r="AD75" s="106"/>
      <c r="AF75" s="446"/>
      <c r="AG75" s="446"/>
      <c r="AH75" s="106"/>
      <c r="AI75" s="1265"/>
      <c r="AJ75" s="1265"/>
    </row>
    <row r="76" spans="1:36" s="114" customFormat="1" x14ac:dyDescent="0.25">
      <c r="A76" s="106"/>
      <c r="B76" s="106"/>
      <c r="C76" s="106"/>
      <c r="D76" s="106"/>
      <c r="E76" s="106"/>
      <c r="F76" s="106"/>
      <c r="G76" s="106"/>
      <c r="H76" s="106"/>
      <c r="I76" s="106"/>
      <c r="J76" s="106"/>
      <c r="K76" s="575"/>
      <c r="L76" s="835">
        <v>2.4899999999999999E-2</v>
      </c>
      <c r="M76" s="106"/>
      <c r="N76" s="575"/>
      <c r="O76" s="106"/>
      <c r="P76" s="106"/>
      <c r="Q76" s="575"/>
      <c r="R76" s="106"/>
      <c r="S76" s="106"/>
      <c r="T76" s="575"/>
      <c r="U76" s="106"/>
      <c r="V76" s="106"/>
      <c r="W76" s="106"/>
      <c r="X76" s="106"/>
      <c r="Y76" s="106"/>
      <c r="Z76" s="106"/>
      <c r="AA76" s="106"/>
      <c r="AB76" s="106"/>
      <c r="AC76" s="106"/>
      <c r="AD76" s="106"/>
      <c r="AF76" s="446"/>
      <c r="AG76" s="446"/>
      <c r="AH76" s="106"/>
      <c r="AI76" s="1265"/>
      <c r="AJ76" s="1265"/>
    </row>
    <row r="77" spans="1:36" s="114" customFormat="1" x14ac:dyDescent="0.25">
      <c r="A77" s="106"/>
      <c r="B77" s="106"/>
      <c r="C77" s="106"/>
      <c r="D77" s="106"/>
      <c r="E77" s="106"/>
      <c r="F77" s="106"/>
      <c r="G77" s="106"/>
      <c r="H77" s="106"/>
      <c r="I77" s="106"/>
      <c r="J77" s="106"/>
      <c r="K77" s="575"/>
      <c r="L77" s="835">
        <v>2.7400000000000001E-2</v>
      </c>
      <c r="M77" s="106"/>
      <c r="N77" s="575"/>
      <c r="O77" s="106"/>
      <c r="P77" s="106"/>
      <c r="Q77" s="575"/>
      <c r="R77" s="106"/>
      <c r="S77" s="106"/>
      <c r="T77" s="575"/>
      <c r="U77" s="106"/>
      <c r="V77" s="106"/>
      <c r="W77" s="106"/>
      <c r="X77" s="106"/>
      <c r="Y77" s="106"/>
      <c r="Z77" s="106"/>
      <c r="AA77" s="106"/>
      <c r="AB77" s="106"/>
      <c r="AC77" s="106"/>
      <c r="AD77" s="106"/>
      <c r="AF77" s="446"/>
      <c r="AG77" s="446"/>
      <c r="AH77" s="106"/>
      <c r="AI77" s="1265"/>
      <c r="AJ77" s="1265"/>
    </row>
    <row r="78" spans="1:36" s="114" customFormat="1" x14ac:dyDescent="0.25">
      <c r="A78" s="106"/>
      <c r="B78" s="106"/>
      <c r="C78" s="106"/>
      <c r="D78" s="106"/>
      <c r="E78" s="106"/>
      <c r="F78" s="106"/>
      <c r="G78" s="106"/>
      <c r="H78" s="106"/>
      <c r="I78" s="106"/>
      <c r="J78" s="106"/>
      <c r="K78" s="575"/>
      <c r="L78" s="106">
        <v>1</v>
      </c>
      <c r="M78" s="106"/>
      <c r="N78" s="575"/>
      <c r="O78" s="106"/>
      <c r="P78" s="106"/>
      <c r="Q78" s="575"/>
      <c r="R78" s="106"/>
      <c r="S78" s="106"/>
      <c r="T78" s="575"/>
      <c r="U78" s="106"/>
      <c r="V78" s="106"/>
      <c r="W78" s="106"/>
      <c r="X78" s="106"/>
      <c r="Y78" s="106"/>
      <c r="Z78" s="106"/>
      <c r="AA78" s="106"/>
      <c r="AB78" s="106"/>
      <c r="AC78" s="106"/>
      <c r="AD78" s="106"/>
      <c r="AF78" s="446"/>
      <c r="AG78" s="446"/>
      <c r="AH78" s="106"/>
      <c r="AI78" s="1265"/>
      <c r="AJ78" s="1265"/>
    </row>
    <row r="79" spans="1:36" s="114" customFormat="1" x14ac:dyDescent="0.25">
      <c r="A79" s="106"/>
      <c r="B79" s="106"/>
      <c r="C79" s="106"/>
      <c r="D79" s="106"/>
      <c r="E79" s="106"/>
      <c r="F79" s="106"/>
      <c r="G79" s="106"/>
      <c r="H79" s="106"/>
      <c r="I79" s="106"/>
      <c r="J79" s="106"/>
      <c r="K79" s="575"/>
      <c r="L79" s="106"/>
      <c r="M79" s="106"/>
      <c r="N79" s="575"/>
      <c r="O79" s="106"/>
      <c r="P79" s="106"/>
      <c r="Q79" s="575"/>
      <c r="R79" s="106"/>
      <c r="S79" s="106"/>
      <c r="T79" s="575"/>
      <c r="U79" s="106"/>
      <c r="V79" s="106"/>
      <c r="W79" s="106"/>
      <c r="X79" s="106"/>
      <c r="Y79" s="106"/>
      <c r="Z79" s="106"/>
      <c r="AA79" s="106"/>
      <c r="AB79" s="106"/>
      <c r="AC79" s="106"/>
      <c r="AD79" s="106"/>
      <c r="AF79" s="446"/>
      <c r="AG79" s="446"/>
      <c r="AH79" s="106"/>
      <c r="AI79" s="1265"/>
      <c r="AJ79" s="1265"/>
    </row>
    <row r="80" spans="1:36" s="114" customFormat="1" x14ac:dyDescent="0.25">
      <c r="A80" s="106"/>
      <c r="B80" s="106"/>
      <c r="C80" s="106"/>
      <c r="D80" s="106"/>
      <c r="E80" s="106"/>
      <c r="F80" s="106"/>
      <c r="G80" s="106"/>
      <c r="H80" s="106"/>
      <c r="I80" s="106"/>
      <c r="J80" s="106"/>
      <c r="K80" s="575"/>
      <c r="L80" s="106"/>
      <c r="M80" s="106"/>
      <c r="N80" s="575"/>
      <c r="O80" s="106"/>
      <c r="P80" s="106"/>
      <c r="Q80" s="575"/>
      <c r="R80" s="106"/>
      <c r="S80" s="106"/>
      <c r="T80" s="575"/>
      <c r="U80" s="106"/>
      <c r="V80" s="106"/>
      <c r="W80" s="106"/>
      <c r="X80" s="106"/>
      <c r="Y80" s="106"/>
      <c r="Z80" s="106"/>
      <c r="AA80" s="106"/>
      <c r="AB80" s="106"/>
      <c r="AC80" s="106"/>
      <c r="AD80" s="106"/>
      <c r="AF80" s="446"/>
      <c r="AG80" s="446"/>
      <c r="AH80" s="106"/>
      <c r="AI80" s="1265"/>
      <c r="AJ80" s="1265"/>
    </row>
    <row r="81" spans="1:36" s="114" customFormat="1" x14ac:dyDescent="0.25">
      <c r="A81" s="106"/>
      <c r="B81" s="106"/>
      <c r="C81" s="106"/>
      <c r="D81" s="106"/>
      <c r="E81" s="106"/>
      <c r="F81" s="106"/>
      <c r="G81" s="106"/>
      <c r="H81" s="106"/>
      <c r="I81" s="106"/>
      <c r="J81" s="106"/>
      <c r="K81" s="575"/>
      <c r="L81" s="106"/>
      <c r="M81" s="106"/>
      <c r="N81" s="575"/>
      <c r="O81" s="106"/>
      <c r="P81" s="106"/>
      <c r="Q81" s="575"/>
      <c r="R81" s="106"/>
      <c r="S81" s="106"/>
      <c r="T81" s="575"/>
      <c r="U81" s="106"/>
      <c r="V81" s="106"/>
      <c r="W81" s="106"/>
      <c r="X81" s="106"/>
      <c r="Y81" s="106"/>
      <c r="Z81" s="106"/>
      <c r="AA81" s="106"/>
      <c r="AB81" s="106"/>
      <c r="AC81" s="106"/>
      <c r="AD81" s="106"/>
      <c r="AF81" s="446"/>
      <c r="AG81" s="446"/>
      <c r="AH81" s="106"/>
      <c r="AI81" s="1265"/>
      <c r="AJ81" s="1265"/>
    </row>
    <row r="82" spans="1:36" s="114" customFormat="1" x14ac:dyDescent="0.25">
      <c r="A82" s="106"/>
      <c r="B82" s="106"/>
      <c r="C82" s="106"/>
      <c r="D82" s="106"/>
      <c r="E82" s="106"/>
      <c r="F82" s="106"/>
      <c r="G82" s="106"/>
      <c r="H82" s="106"/>
      <c r="I82" s="106"/>
      <c r="J82" s="106"/>
      <c r="K82" s="575"/>
      <c r="L82" s="106"/>
      <c r="M82" s="106"/>
      <c r="N82" s="575"/>
      <c r="O82" s="106"/>
      <c r="P82" s="106"/>
      <c r="Q82" s="575"/>
      <c r="R82" s="106"/>
      <c r="S82" s="106"/>
      <c r="T82" s="575"/>
      <c r="U82" s="106"/>
      <c r="V82" s="106"/>
      <c r="W82" s="106"/>
      <c r="X82" s="106"/>
      <c r="Y82" s="106"/>
      <c r="Z82" s="106"/>
      <c r="AA82" s="106"/>
      <c r="AB82" s="106"/>
      <c r="AC82" s="106"/>
      <c r="AD82" s="106"/>
      <c r="AF82" s="446"/>
      <c r="AG82" s="446"/>
      <c r="AH82" s="106"/>
      <c r="AI82" s="1265"/>
      <c r="AJ82" s="1265"/>
    </row>
    <row r="83" spans="1:36" s="114" customFormat="1" x14ac:dyDescent="0.25">
      <c r="A83" s="106"/>
      <c r="B83" s="106"/>
      <c r="C83" s="106"/>
      <c r="D83" s="106"/>
      <c r="E83" s="106"/>
      <c r="F83" s="106"/>
      <c r="G83" s="106"/>
      <c r="H83" s="106"/>
      <c r="I83" s="106"/>
      <c r="J83" s="106"/>
      <c r="K83" s="575"/>
      <c r="L83" s="106"/>
      <c r="M83" s="106"/>
      <c r="N83" s="575"/>
      <c r="O83" s="106"/>
      <c r="P83" s="106"/>
      <c r="Q83" s="575"/>
      <c r="R83" s="106"/>
      <c r="S83" s="106"/>
      <c r="T83" s="575"/>
      <c r="U83" s="106"/>
      <c r="V83" s="106"/>
      <c r="W83" s="106"/>
      <c r="X83" s="106"/>
      <c r="Y83" s="106"/>
      <c r="Z83" s="106"/>
      <c r="AA83" s="106"/>
      <c r="AB83" s="106"/>
      <c r="AC83" s="106"/>
      <c r="AD83" s="106"/>
      <c r="AF83" s="446"/>
      <c r="AG83" s="446"/>
      <c r="AH83" s="106"/>
      <c r="AI83" s="1265"/>
      <c r="AJ83" s="1265"/>
    </row>
    <row r="84" spans="1:36" s="114" customFormat="1" x14ac:dyDescent="0.25">
      <c r="A84" s="106"/>
      <c r="B84" s="106"/>
      <c r="C84" s="106"/>
      <c r="D84" s="106"/>
      <c r="E84" s="106"/>
      <c r="F84" s="106"/>
      <c r="G84" s="106"/>
      <c r="H84" s="106"/>
      <c r="I84" s="106"/>
      <c r="J84" s="106"/>
      <c r="K84" s="575"/>
      <c r="L84" s="106"/>
      <c r="M84" s="106"/>
      <c r="N84" s="575"/>
      <c r="O84" s="106"/>
      <c r="P84" s="106"/>
      <c r="Q84" s="575"/>
      <c r="R84" s="106"/>
      <c r="S84" s="106"/>
      <c r="T84" s="575"/>
      <c r="U84" s="106"/>
      <c r="V84" s="106"/>
      <c r="W84" s="106"/>
      <c r="X84" s="106"/>
      <c r="Y84" s="106"/>
      <c r="Z84" s="106"/>
      <c r="AA84" s="106"/>
      <c r="AB84" s="106"/>
      <c r="AC84" s="106"/>
      <c r="AD84" s="106"/>
      <c r="AF84" s="446"/>
      <c r="AG84" s="446"/>
      <c r="AH84" s="106"/>
      <c r="AI84" s="1265"/>
      <c r="AJ84" s="1265"/>
    </row>
    <row r="85" spans="1:36" s="114" customFormat="1" x14ac:dyDescent="0.25">
      <c r="A85" s="106"/>
      <c r="B85" s="106"/>
      <c r="C85" s="106"/>
      <c r="D85" s="106"/>
      <c r="E85" s="106"/>
      <c r="F85" s="106"/>
      <c r="G85" s="106"/>
      <c r="H85" s="106"/>
      <c r="I85" s="106"/>
      <c r="J85" s="106"/>
      <c r="K85" s="575"/>
      <c r="L85" s="106"/>
      <c r="M85" s="106"/>
      <c r="N85" s="575"/>
      <c r="O85" s="106"/>
      <c r="P85" s="106"/>
      <c r="Q85" s="575"/>
      <c r="R85" s="106"/>
      <c r="S85" s="106"/>
      <c r="T85" s="575"/>
      <c r="U85" s="106"/>
      <c r="V85" s="106"/>
      <c r="W85" s="106"/>
      <c r="X85" s="106"/>
      <c r="Y85" s="106"/>
      <c r="Z85" s="106"/>
      <c r="AA85" s="106"/>
      <c r="AB85" s="106"/>
      <c r="AC85" s="106"/>
      <c r="AD85" s="106"/>
      <c r="AF85" s="446"/>
      <c r="AG85" s="446"/>
      <c r="AH85" s="106"/>
      <c r="AI85" s="1265"/>
      <c r="AJ85" s="1265"/>
    </row>
    <row r="86" spans="1:36" s="114" customFormat="1" x14ac:dyDescent="0.25">
      <c r="A86" s="106"/>
      <c r="B86" s="106"/>
      <c r="C86" s="106"/>
      <c r="D86" s="106"/>
      <c r="E86" s="106"/>
      <c r="F86" s="106"/>
      <c r="G86" s="106"/>
      <c r="H86" s="106"/>
      <c r="I86" s="106"/>
      <c r="J86" s="106"/>
      <c r="K86" s="575"/>
      <c r="L86" s="106"/>
      <c r="M86" s="106"/>
      <c r="N86" s="575"/>
      <c r="O86" s="106"/>
      <c r="P86" s="106"/>
      <c r="Q86" s="575"/>
      <c r="R86" s="106"/>
      <c r="S86" s="106"/>
      <c r="T86" s="575"/>
      <c r="U86" s="106"/>
      <c r="V86" s="106"/>
      <c r="W86" s="106"/>
      <c r="X86" s="106"/>
      <c r="Y86" s="106"/>
      <c r="Z86" s="106"/>
      <c r="AA86" s="106"/>
      <c r="AB86" s="106"/>
      <c r="AC86" s="106"/>
      <c r="AD86" s="106"/>
      <c r="AF86" s="446"/>
      <c r="AG86" s="446"/>
      <c r="AH86" s="106"/>
      <c r="AI86" s="1265"/>
      <c r="AJ86" s="1265"/>
    </row>
    <row r="87" spans="1:36" s="114" customFormat="1" x14ac:dyDescent="0.25">
      <c r="A87" s="106"/>
      <c r="B87" s="106"/>
      <c r="C87" s="106"/>
      <c r="D87" s="106"/>
      <c r="E87" s="106"/>
      <c r="F87" s="106"/>
      <c r="G87" s="106"/>
      <c r="H87" s="106"/>
      <c r="I87" s="106"/>
      <c r="J87" s="106"/>
      <c r="K87" s="575"/>
      <c r="L87" s="106"/>
      <c r="M87" s="106"/>
      <c r="N87" s="575"/>
      <c r="O87" s="106"/>
      <c r="P87" s="106"/>
      <c r="Q87" s="575"/>
      <c r="R87" s="106"/>
      <c r="S87" s="106"/>
      <c r="T87" s="575"/>
      <c r="U87" s="106"/>
      <c r="V87" s="106"/>
      <c r="W87" s="106"/>
      <c r="X87" s="106"/>
      <c r="Y87" s="106"/>
      <c r="Z87" s="106"/>
      <c r="AA87" s="106"/>
      <c r="AB87" s="106"/>
      <c r="AC87" s="106"/>
      <c r="AD87" s="106"/>
      <c r="AF87" s="446"/>
      <c r="AG87" s="446"/>
      <c r="AH87" s="106"/>
      <c r="AI87" s="1265"/>
      <c r="AJ87" s="1265"/>
    </row>
    <row r="88" spans="1:36" s="114" customFormat="1" x14ac:dyDescent="0.25">
      <c r="A88" s="106"/>
      <c r="B88" s="106"/>
      <c r="C88" s="106"/>
      <c r="D88" s="106"/>
      <c r="E88" s="106"/>
      <c r="F88" s="106"/>
      <c r="G88" s="172"/>
      <c r="H88" s="106"/>
      <c r="I88" s="173"/>
      <c r="J88" s="106"/>
      <c r="K88" s="575"/>
      <c r="L88" s="106"/>
      <c r="M88" s="106"/>
      <c r="N88" s="575"/>
      <c r="O88" s="106"/>
      <c r="P88" s="106"/>
      <c r="Q88" s="575"/>
      <c r="R88" s="106"/>
      <c r="S88" s="106"/>
      <c r="T88" s="575"/>
      <c r="U88" s="106"/>
      <c r="V88" s="106"/>
      <c r="W88" s="106"/>
      <c r="X88" s="106"/>
      <c r="Y88" s="106"/>
      <c r="Z88" s="106"/>
      <c r="AA88" s="106"/>
      <c r="AB88" s="106"/>
      <c r="AC88" s="106"/>
      <c r="AD88" s="106"/>
      <c r="AF88" s="446"/>
      <c r="AG88" s="446"/>
      <c r="AH88" s="106"/>
      <c r="AI88" s="1265"/>
      <c r="AJ88" s="1265"/>
    </row>
    <row r="89" spans="1:36" s="114" customFormat="1" x14ac:dyDescent="0.25">
      <c r="A89" s="106"/>
      <c r="B89" s="106"/>
      <c r="C89" s="106"/>
      <c r="D89" s="106"/>
      <c r="E89" s="106"/>
      <c r="F89" s="106"/>
      <c r="G89" s="172"/>
      <c r="H89" s="106"/>
      <c r="I89" s="173"/>
      <c r="J89" s="106"/>
      <c r="K89" s="575"/>
      <c r="L89" s="106"/>
      <c r="M89" s="106"/>
      <c r="N89" s="575"/>
      <c r="O89" s="106"/>
      <c r="P89" s="106"/>
      <c r="Q89" s="575"/>
      <c r="R89" s="106"/>
      <c r="S89" s="106"/>
      <c r="T89" s="575"/>
      <c r="U89" s="106"/>
      <c r="V89" s="106"/>
      <c r="W89" s="106"/>
      <c r="X89" s="106"/>
      <c r="Y89" s="106"/>
      <c r="Z89" s="106"/>
      <c r="AA89" s="106"/>
      <c r="AB89" s="106"/>
      <c r="AC89" s="106"/>
      <c r="AD89" s="106"/>
      <c r="AF89" s="446"/>
      <c r="AG89" s="446"/>
      <c r="AH89" s="106"/>
      <c r="AI89" s="1265"/>
      <c r="AJ89" s="1265"/>
    </row>
    <row r="90" spans="1:36" s="114" customFormat="1" x14ac:dyDescent="0.25">
      <c r="A90" s="106"/>
      <c r="B90" s="106"/>
      <c r="C90" s="106"/>
      <c r="D90" s="106"/>
      <c r="E90" s="106"/>
      <c r="F90" s="106"/>
      <c r="G90" s="172"/>
      <c r="H90" s="106"/>
      <c r="I90" s="173"/>
      <c r="J90" s="106"/>
      <c r="K90" s="575"/>
      <c r="L90" s="106"/>
      <c r="M90" s="106"/>
      <c r="N90" s="575"/>
      <c r="O90" s="106"/>
      <c r="P90" s="106"/>
      <c r="Q90" s="575"/>
      <c r="R90" s="106"/>
      <c r="S90" s="106"/>
      <c r="T90" s="575"/>
      <c r="U90" s="106"/>
      <c r="V90" s="106"/>
      <c r="W90" s="106"/>
      <c r="X90" s="106"/>
      <c r="Y90" s="106"/>
      <c r="Z90" s="106"/>
      <c r="AA90" s="106"/>
      <c r="AB90" s="106"/>
      <c r="AC90" s="106"/>
      <c r="AD90" s="106"/>
      <c r="AF90" s="446"/>
      <c r="AG90" s="446"/>
      <c r="AH90" s="106"/>
      <c r="AI90" s="1265"/>
      <c r="AJ90" s="1265"/>
    </row>
    <row r="91" spans="1:36" s="114" customFormat="1" x14ac:dyDescent="0.25">
      <c r="A91" s="106"/>
      <c r="B91" s="106"/>
      <c r="C91" s="106"/>
      <c r="D91" s="106"/>
      <c r="E91" s="106"/>
      <c r="F91" s="106"/>
      <c r="G91" s="172"/>
      <c r="H91" s="106"/>
      <c r="I91" s="173"/>
      <c r="J91" s="174"/>
      <c r="K91" s="575"/>
      <c r="L91" s="106"/>
      <c r="M91" s="106"/>
      <c r="N91" s="575"/>
      <c r="O91" s="106"/>
      <c r="P91" s="106"/>
      <c r="Q91" s="575"/>
      <c r="R91" s="106"/>
      <c r="S91" s="106"/>
      <c r="T91" s="575"/>
      <c r="U91" s="106"/>
      <c r="V91" s="106"/>
      <c r="W91" s="106"/>
      <c r="X91" s="106"/>
      <c r="Y91" s="106"/>
      <c r="Z91" s="106"/>
      <c r="AA91" s="106"/>
      <c r="AB91" s="106"/>
      <c r="AC91" s="106"/>
      <c r="AD91" s="106"/>
      <c r="AF91" s="446"/>
      <c r="AG91" s="446"/>
      <c r="AH91" s="106"/>
      <c r="AI91" s="1265"/>
      <c r="AJ91" s="1265"/>
    </row>
    <row r="92" spans="1:36" s="114" customFormat="1" x14ac:dyDescent="0.25">
      <c r="A92" s="106"/>
      <c r="B92" s="106"/>
      <c r="C92" s="106"/>
      <c r="D92" s="106"/>
      <c r="E92" s="106"/>
      <c r="F92" s="172"/>
      <c r="G92" s="106"/>
      <c r="H92" s="106"/>
      <c r="I92" s="106"/>
      <c r="J92" s="174"/>
      <c r="K92" s="575"/>
      <c r="L92" s="106"/>
      <c r="M92" s="172"/>
      <c r="N92" s="575"/>
      <c r="O92" s="106"/>
      <c r="P92" s="106"/>
      <c r="Q92" s="575"/>
      <c r="R92" s="106"/>
      <c r="S92" s="106"/>
      <c r="T92" s="575"/>
      <c r="U92" s="106"/>
      <c r="V92" s="106"/>
      <c r="W92" s="106"/>
      <c r="X92" s="106"/>
      <c r="Y92" s="106"/>
      <c r="Z92" s="106"/>
      <c r="AA92" s="106"/>
      <c r="AB92" s="106"/>
      <c r="AC92" s="106"/>
      <c r="AD92" s="106"/>
      <c r="AF92" s="446"/>
      <c r="AG92" s="446"/>
      <c r="AH92" s="106"/>
      <c r="AI92" s="1265"/>
      <c r="AJ92" s="1265"/>
    </row>
    <row r="93" spans="1:36" s="114" customFormat="1" x14ac:dyDescent="0.25">
      <c r="A93" s="106"/>
      <c r="B93" s="106"/>
      <c r="C93" s="106"/>
      <c r="D93" s="106"/>
      <c r="E93" s="106"/>
      <c r="F93" s="172"/>
      <c r="G93" s="106"/>
      <c r="H93" s="106"/>
      <c r="I93" s="106"/>
      <c r="J93" s="174"/>
      <c r="K93" s="575"/>
      <c r="L93" s="106"/>
      <c r="M93" s="172"/>
      <c r="N93" s="575"/>
      <c r="O93" s="106"/>
      <c r="P93" s="106"/>
      <c r="Q93" s="575"/>
      <c r="R93" s="106"/>
      <c r="S93" s="106"/>
      <c r="T93" s="575"/>
      <c r="U93" s="106"/>
      <c r="V93" s="106"/>
      <c r="W93" s="106"/>
      <c r="X93" s="106"/>
      <c r="Y93" s="106"/>
      <c r="Z93" s="106"/>
      <c r="AA93" s="106"/>
      <c r="AB93" s="106"/>
      <c r="AC93" s="106"/>
      <c r="AD93" s="106"/>
      <c r="AF93" s="446"/>
      <c r="AG93" s="446"/>
      <c r="AH93" s="106"/>
      <c r="AI93" s="1265"/>
      <c r="AJ93" s="1265"/>
    </row>
    <row r="94" spans="1:36" s="114" customFormat="1" x14ac:dyDescent="0.25">
      <c r="A94" s="106"/>
      <c r="B94" s="106"/>
      <c r="C94" s="106"/>
      <c r="D94" s="106"/>
      <c r="E94" s="106"/>
      <c r="F94" s="172"/>
      <c r="G94" s="106"/>
      <c r="H94" s="106"/>
      <c r="I94" s="106"/>
      <c r="J94" s="106"/>
      <c r="K94" s="575"/>
      <c r="L94" s="106"/>
      <c r="M94" s="172"/>
      <c r="N94" s="575"/>
      <c r="O94" s="106"/>
      <c r="P94" s="106"/>
      <c r="Q94" s="575"/>
      <c r="R94" s="106"/>
      <c r="S94" s="106"/>
      <c r="T94" s="575"/>
      <c r="U94" s="106"/>
      <c r="V94" s="106"/>
      <c r="W94" s="106"/>
      <c r="X94" s="106"/>
      <c r="Y94" s="106"/>
      <c r="Z94" s="106"/>
      <c r="AA94" s="106"/>
      <c r="AB94" s="106"/>
      <c r="AC94" s="106"/>
      <c r="AD94" s="106"/>
      <c r="AF94" s="446"/>
      <c r="AG94" s="446"/>
      <c r="AH94" s="106"/>
      <c r="AI94" s="1265"/>
      <c r="AJ94" s="1265"/>
    </row>
    <row r="95" spans="1:36" s="114" customFormat="1" x14ac:dyDescent="0.25">
      <c r="A95" s="106"/>
      <c r="B95" s="106"/>
      <c r="C95" s="106"/>
      <c r="D95" s="106"/>
      <c r="E95" s="106"/>
      <c r="F95" s="172"/>
      <c r="G95" s="106"/>
      <c r="H95" s="106"/>
      <c r="I95" s="106"/>
      <c r="J95" s="106"/>
      <c r="K95" s="575"/>
      <c r="L95" s="106"/>
      <c r="M95" s="106"/>
      <c r="N95" s="575"/>
      <c r="O95" s="106"/>
      <c r="P95" s="106"/>
      <c r="Q95" s="575"/>
      <c r="R95" s="106"/>
      <c r="S95" s="106"/>
      <c r="T95" s="575"/>
      <c r="U95" s="106"/>
      <c r="V95" s="106"/>
      <c r="W95" s="106"/>
      <c r="X95" s="106"/>
      <c r="Y95" s="106"/>
      <c r="Z95" s="106"/>
      <c r="AA95" s="106"/>
      <c r="AB95" s="106"/>
      <c r="AC95" s="106"/>
      <c r="AD95" s="106"/>
      <c r="AF95" s="446"/>
      <c r="AG95" s="446"/>
      <c r="AH95" s="106"/>
      <c r="AI95" s="1265"/>
      <c r="AJ95" s="1265"/>
    </row>
    <row r="96" spans="1:36" s="114" customFormat="1" x14ac:dyDescent="0.25">
      <c r="A96" s="106"/>
      <c r="B96" s="106"/>
      <c r="C96" s="106"/>
      <c r="D96" s="106"/>
      <c r="E96" s="106"/>
      <c r="F96" s="106"/>
      <c r="G96" s="106"/>
      <c r="H96" s="106"/>
      <c r="I96" s="106"/>
      <c r="J96" s="106"/>
      <c r="K96" s="575"/>
      <c r="L96" s="106"/>
      <c r="M96" s="106"/>
      <c r="N96" s="575"/>
      <c r="O96" s="106"/>
      <c r="P96" s="106"/>
      <c r="Q96" s="575"/>
      <c r="R96" s="106"/>
      <c r="S96" s="106"/>
      <c r="T96" s="575"/>
      <c r="U96" s="106"/>
      <c r="V96" s="106"/>
      <c r="W96" s="106"/>
      <c r="X96" s="106"/>
      <c r="Y96" s="106"/>
      <c r="Z96" s="106"/>
      <c r="AA96" s="106"/>
      <c r="AB96" s="106"/>
      <c r="AC96" s="106"/>
      <c r="AD96" s="106"/>
      <c r="AF96" s="446"/>
      <c r="AG96" s="446"/>
      <c r="AH96" s="106"/>
      <c r="AI96" s="1265"/>
      <c r="AJ96" s="1265"/>
    </row>
    <row r="97" spans="1:59" s="114" customFormat="1" x14ac:dyDescent="0.25">
      <c r="A97" s="106">
        <v>2018</v>
      </c>
      <c r="B97" s="106"/>
      <c r="C97" s="106"/>
      <c r="D97" s="106"/>
      <c r="E97" s="106"/>
      <c r="F97" s="106"/>
      <c r="G97" s="175"/>
      <c r="H97" s="174" t="s">
        <v>45</v>
      </c>
      <c r="I97" s="174" t="s">
        <v>46</v>
      </c>
      <c r="J97" s="106"/>
      <c r="K97" s="575"/>
      <c r="L97" s="106"/>
      <c r="M97" s="174"/>
      <c r="N97" s="575"/>
      <c r="O97" s="106"/>
      <c r="P97" s="106"/>
      <c r="Q97" s="575"/>
      <c r="R97" s="106"/>
      <c r="S97" s="106"/>
      <c r="T97" s="575"/>
      <c r="U97" s="106"/>
      <c r="V97" s="106"/>
      <c r="W97" s="106"/>
      <c r="X97" s="106"/>
      <c r="Y97" s="106"/>
      <c r="Z97" s="106"/>
      <c r="AA97" s="106"/>
      <c r="AB97" s="106"/>
      <c r="AC97" s="106"/>
      <c r="AD97" s="106"/>
      <c r="AF97" s="446"/>
      <c r="AG97" s="446"/>
      <c r="AH97" s="106"/>
      <c r="AI97" s="1265"/>
      <c r="AJ97" s="1265"/>
    </row>
    <row r="98" spans="1:59" s="114" customFormat="1" x14ac:dyDescent="0.25">
      <c r="A98" s="106">
        <v>2019</v>
      </c>
      <c r="B98" s="106"/>
      <c r="C98" s="106"/>
      <c r="D98" s="106"/>
      <c r="E98" s="106"/>
      <c r="F98" s="106"/>
      <c r="G98" s="172"/>
      <c r="H98" s="106" t="s">
        <v>180</v>
      </c>
      <c r="I98" s="173" t="s">
        <v>47</v>
      </c>
      <c r="J98" s="174" t="s">
        <v>206</v>
      </c>
      <c r="K98" s="576" t="s">
        <v>48</v>
      </c>
      <c r="L98" s="174" t="s">
        <v>49</v>
      </c>
      <c r="M98" s="172" t="s">
        <v>212</v>
      </c>
      <c r="N98" s="576"/>
      <c r="O98" s="174"/>
      <c r="P98" s="174"/>
      <c r="Q98" s="576"/>
      <c r="R98" s="174"/>
      <c r="S98" s="174"/>
      <c r="T98" s="576"/>
      <c r="U98" s="174"/>
      <c r="V98" s="174"/>
      <c r="W98" s="174"/>
      <c r="X98" s="174"/>
      <c r="Y98" s="174"/>
      <c r="Z98" s="174"/>
      <c r="AA98" s="174"/>
      <c r="AB98" s="174"/>
      <c r="AC98" s="174"/>
      <c r="AD98" s="106"/>
      <c r="AF98" s="446"/>
      <c r="AG98" s="446"/>
      <c r="AH98" s="106"/>
      <c r="AI98" s="1265"/>
      <c r="AJ98" s="1265"/>
    </row>
    <row r="99" spans="1:59" s="114" customFormat="1" x14ac:dyDescent="0.25">
      <c r="A99" s="106">
        <v>2020</v>
      </c>
      <c r="B99" s="106"/>
      <c r="C99" s="106"/>
      <c r="D99" s="106"/>
      <c r="E99" s="106"/>
      <c r="F99" s="106"/>
      <c r="G99" s="172"/>
      <c r="H99" s="106" t="s">
        <v>181</v>
      </c>
      <c r="I99" s="173" t="s">
        <v>50</v>
      </c>
      <c r="J99" s="174" t="s">
        <v>207</v>
      </c>
      <c r="K99" s="576" t="s">
        <v>48</v>
      </c>
      <c r="L99" s="174" t="s">
        <v>49</v>
      </c>
      <c r="M99" s="174" t="s">
        <v>213</v>
      </c>
      <c r="N99" s="576"/>
      <c r="O99" s="174"/>
      <c r="P99" s="174"/>
      <c r="Q99" s="576"/>
      <c r="R99" s="174"/>
      <c r="S99" s="174"/>
      <c r="T99" s="576"/>
      <c r="U99" s="174"/>
      <c r="V99" s="174"/>
      <c r="W99" s="174"/>
      <c r="X99" s="174"/>
      <c r="Y99" s="174"/>
      <c r="Z99" s="174"/>
      <c r="AA99" s="174"/>
      <c r="AB99" s="174"/>
      <c r="AC99" s="174"/>
      <c r="AD99" s="174"/>
      <c r="AE99" s="178"/>
      <c r="AF99" s="509"/>
      <c r="AG99" s="509"/>
      <c r="AH99" s="174"/>
      <c r="AI99" s="1271"/>
      <c r="AJ99" s="1271"/>
      <c r="AK99" s="178"/>
      <c r="AL99" s="178"/>
      <c r="AM99" s="178"/>
      <c r="AN99" s="178"/>
      <c r="AO99" s="178"/>
      <c r="AP99" s="178"/>
      <c r="AQ99" s="178"/>
      <c r="AR99" s="178"/>
      <c r="AS99" s="178"/>
      <c r="AT99" s="178"/>
      <c r="AU99" s="178"/>
      <c r="AV99" s="178"/>
      <c r="AW99" s="178"/>
      <c r="AX99" s="178"/>
      <c r="AY99" s="178"/>
      <c r="AZ99" s="178"/>
      <c r="BA99" s="178"/>
      <c r="BB99" s="178"/>
      <c r="BC99" s="178"/>
      <c r="BD99" s="178"/>
      <c r="BE99" s="178"/>
      <c r="BF99" s="178"/>
      <c r="BG99" s="178"/>
    </row>
    <row r="100" spans="1:59" s="114" customFormat="1" x14ac:dyDescent="0.25">
      <c r="A100" s="106">
        <v>2021</v>
      </c>
      <c r="B100" s="106"/>
      <c r="C100" s="106"/>
      <c r="D100" s="106"/>
      <c r="E100" s="106"/>
      <c r="F100" s="106"/>
      <c r="G100" s="172"/>
      <c r="H100" s="106" t="s">
        <v>182</v>
      </c>
      <c r="I100" s="173" t="s">
        <v>51</v>
      </c>
      <c r="J100" s="174" t="s">
        <v>207</v>
      </c>
      <c r="K100" s="576" t="s">
        <v>48</v>
      </c>
      <c r="L100" s="174" t="s">
        <v>49</v>
      </c>
      <c r="M100" s="174" t="s">
        <v>214</v>
      </c>
      <c r="N100" s="576"/>
      <c r="O100" s="174"/>
      <c r="P100" s="174"/>
      <c r="Q100" s="576"/>
      <c r="R100" s="174"/>
      <c r="S100" s="174"/>
      <c r="T100" s="576"/>
      <c r="U100" s="174"/>
      <c r="V100" s="174"/>
      <c r="W100" s="174"/>
      <c r="X100" s="174"/>
      <c r="Y100" s="174"/>
      <c r="Z100" s="174"/>
      <c r="AA100" s="174"/>
      <c r="AB100" s="174"/>
      <c r="AC100" s="174"/>
      <c r="AD100" s="174"/>
      <c r="AE100" s="178"/>
      <c r="AF100" s="509"/>
      <c r="AG100" s="509"/>
      <c r="AH100" s="174"/>
      <c r="AI100" s="1271"/>
      <c r="AJ100" s="1271"/>
      <c r="AK100" s="178"/>
      <c r="AL100" s="178"/>
      <c r="AM100" s="178"/>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row>
    <row r="101" spans="1:59" s="114" customFormat="1" x14ac:dyDescent="0.25">
      <c r="A101" s="106">
        <v>2022</v>
      </c>
      <c r="B101" s="106"/>
      <c r="C101" s="106"/>
      <c r="D101" s="106"/>
      <c r="E101" s="106"/>
      <c r="F101" s="175" t="s">
        <v>44</v>
      </c>
      <c r="G101" s="172"/>
      <c r="H101" s="106" t="s">
        <v>192</v>
      </c>
      <c r="I101" s="173" t="s">
        <v>52</v>
      </c>
      <c r="J101" s="174" t="s">
        <v>208</v>
      </c>
      <c r="K101" s="576" t="s">
        <v>48</v>
      </c>
      <c r="L101" s="174" t="s">
        <v>54</v>
      </c>
      <c r="M101" s="172" t="s">
        <v>215</v>
      </c>
      <c r="N101" s="576"/>
      <c r="O101" s="174"/>
      <c r="P101" s="174"/>
      <c r="Q101" s="576"/>
      <c r="R101" s="174"/>
      <c r="S101" s="174"/>
      <c r="T101" s="576"/>
      <c r="U101" s="174"/>
      <c r="V101" s="174"/>
      <c r="W101" s="174"/>
      <c r="X101" s="174"/>
      <c r="Y101" s="174"/>
      <c r="Z101" s="174"/>
      <c r="AA101" s="174"/>
      <c r="AB101" s="174"/>
      <c r="AC101" s="174"/>
      <c r="AD101" s="174"/>
      <c r="AE101" s="178"/>
      <c r="AF101" s="509"/>
      <c r="AG101" s="509"/>
      <c r="AH101" s="174"/>
      <c r="AI101" s="1271"/>
      <c r="AJ101" s="1271"/>
      <c r="AK101" s="178"/>
      <c r="AL101" s="178"/>
      <c r="AM101" s="178"/>
      <c r="AN101" s="178"/>
      <c r="AO101" s="178"/>
      <c r="AP101" s="178"/>
      <c r="AQ101" s="178"/>
      <c r="AR101" s="178"/>
      <c r="AS101" s="178"/>
      <c r="AT101" s="178"/>
      <c r="AU101" s="178"/>
      <c r="AV101" s="178"/>
      <c r="AW101" s="178"/>
      <c r="AX101" s="178"/>
      <c r="AY101" s="178"/>
      <c r="AZ101" s="178"/>
      <c r="BA101" s="178"/>
      <c r="BB101" s="178"/>
      <c r="BC101" s="178"/>
      <c r="BD101" s="178"/>
      <c r="BE101" s="178"/>
      <c r="BF101" s="178"/>
      <c r="BG101" s="178"/>
    </row>
    <row r="102" spans="1:59" s="114" customFormat="1" x14ac:dyDescent="0.25">
      <c r="A102" s="106">
        <v>2023</v>
      </c>
      <c r="B102" s="106"/>
      <c r="C102" s="106"/>
      <c r="D102" s="106"/>
      <c r="E102" s="106"/>
      <c r="F102" s="172" t="s">
        <v>177</v>
      </c>
      <c r="G102" s="172"/>
      <c r="H102" s="106" t="s">
        <v>193</v>
      </c>
      <c r="I102" s="173" t="s">
        <v>55</v>
      </c>
      <c r="J102" s="174" t="s">
        <v>209</v>
      </c>
      <c r="K102" s="576" t="s">
        <v>48</v>
      </c>
      <c r="L102" s="174" t="s">
        <v>54</v>
      </c>
      <c r="M102" s="172" t="s">
        <v>216</v>
      </c>
      <c r="N102" s="576"/>
      <c r="O102" s="174"/>
      <c r="P102" s="174"/>
      <c r="Q102" s="576"/>
      <c r="R102" s="174"/>
      <c r="S102" s="174"/>
      <c r="T102" s="576"/>
      <c r="U102" s="174"/>
      <c r="V102" s="174"/>
      <c r="W102" s="174"/>
      <c r="X102" s="174"/>
      <c r="Y102" s="174"/>
      <c r="Z102" s="174"/>
      <c r="AA102" s="174"/>
      <c r="AB102" s="174"/>
      <c r="AC102" s="174"/>
      <c r="AD102" s="174"/>
      <c r="AE102" s="178"/>
      <c r="AF102" s="509"/>
      <c r="AG102" s="509"/>
      <c r="AH102" s="174"/>
      <c r="AI102" s="1271"/>
      <c r="AJ102" s="1271"/>
      <c r="AK102" s="178"/>
      <c r="AL102" s="178"/>
      <c r="AM102" s="178"/>
      <c r="AN102" s="178"/>
      <c r="AO102" s="178"/>
      <c r="AP102" s="178"/>
      <c r="AQ102" s="178"/>
      <c r="AR102" s="178"/>
      <c r="AS102" s="178"/>
      <c r="AT102" s="178"/>
      <c r="AU102" s="178"/>
      <c r="AV102" s="178"/>
      <c r="AW102" s="178"/>
      <c r="AX102" s="178"/>
      <c r="AY102" s="178"/>
      <c r="AZ102" s="178"/>
      <c r="BA102" s="178"/>
      <c r="BB102" s="178"/>
      <c r="BC102" s="178"/>
      <c r="BD102" s="178"/>
      <c r="BE102" s="178"/>
      <c r="BF102" s="178"/>
      <c r="BG102" s="178"/>
    </row>
    <row r="103" spans="1:59" x14ac:dyDescent="0.25">
      <c r="A103" s="106">
        <v>2024</v>
      </c>
      <c r="F103" s="172" t="s">
        <v>178</v>
      </c>
      <c r="G103" s="172"/>
      <c r="H103" s="106" t="s">
        <v>194</v>
      </c>
      <c r="I103" s="173" t="s">
        <v>56</v>
      </c>
      <c r="J103" s="174" t="s">
        <v>209</v>
      </c>
      <c r="K103" s="576" t="s">
        <v>48</v>
      </c>
      <c r="L103" s="174" t="s">
        <v>54</v>
      </c>
      <c r="M103" s="172" t="s">
        <v>226</v>
      </c>
      <c r="N103" s="576"/>
      <c r="O103" s="174"/>
      <c r="P103" s="174"/>
      <c r="Q103" s="576"/>
      <c r="R103" s="174"/>
      <c r="S103" s="174"/>
      <c r="T103" s="576"/>
      <c r="U103" s="174"/>
      <c r="V103" s="174"/>
      <c r="W103" s="174"/>
      <c r="X103" s="174"/>
      <c r="Y103" s="174"/>
      <c r="Z103" s="174"/>
      <c r="AA103" s="174"/>
      <c r="AB103" s="174"/>
      <c r="AC103" s="174"/>
      <c r="AD103" s="174"/>
      <c r="AE103" s="174"/>
      <c r="AF103" s="509"/>
      <c r="AG103" s="509"/>
      <c r="AH103" s="174"/>
      <c r="AI103" s="509"/>
      <c r="AJ103" s="509"/>
      <c r="AK103" s="174"/>
      <c r="AL103" s="174"/>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row>
    <row r="104" spans="1:59" x14ac:dyDescent="0.25">
      <c r="A104" s="106">
        <v>2025</v>
      </c>
      <c r="F104" s="172" t="s">
        <v>179</v>
      </c>
      <c r="G104" s="172"/>
      <c r="H104" s="106" t="s">
        <v>195</v>
      </c>
      <c r="I104" s="173" t="s">
        <v>57</v>
      </c>
      <c r="J104" s="174" t="s">
        <v>209</v>
      </c>
      <c r="K104" s="576" t="s">
        <v>48</v>
      </c>
      <c r="L104" s="174" t="s">
        <v>54</v>
      </c>
      <c r="M104" s="172" t="s">
        <v>217</v>
      </c>
      <c r="N104" s="576"/>
      <c r="O104" s="174"/>
      <c r="P104" s="174"/>
      <c r="Q104" s="576"/>
      <c r="R104" s="174"/>
      <c r="S104" s="174"/>
      <c r="T104" s="576"/>
      <c r="U104" s="174"/>
      <c r="V104" s="174"/>
      <c r="W104" s="174"/>
      <c r="X104" s="174"/>
      <c r="Y104" s="174"/>
      <c r="Z104" s="174"/>
      <c r="AA104" s="174"/>
      <c r="AB104" s="174"/>
      <c r="AC104" s="174"/>
      <c r="AD104" s="174"/>
      <c r="AE104" s="174"/>
      <c r="AF104" s="509"/>
      <c r="AG104" s="509"/>
      <c r="AH104" s="174"/>
      <c r="AI104" s="509"/>
      <c r="AJ104" s="509"/>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row>
    <row r="105" spans="1:59" x14ac:dyDescent="0.25">
      <c r="A105" s="106">
        <v>2026</v>
      </c>
      <c r="F105" s="172" t="s">
        <v>183</v>
      </c>
      <c r="G105" s="172"/>
      <c r="H105" s="106" t="s">
        <v>196</v>
      </c>
      <c r="I105" s="173" t="s">
        <v>58</v>
      </c>
      <c r="J105" s="174" t="s">
        <v>208</v>
      </c>
      <c r="K105" s="576" t="s">
        <v>48</v>
      </c>
      <c r="L105" s="174" t="s">
        <v>54</v>
      </c>
      <c r="M105" s="172" t="s">
        <v>218</v>
      </c>
      <c r="N105" s="576"/>
      <c r="O105" s="174"/>
      <c r="P105" s="174"/>
      <c r="Q105" s="576"/>
      <c r="R105" s="174"/>
      <c r="S105" s="174"/>
      <c r="T105" s="576"/>
      <c r="U105" s="174"/>
      <c r="V105" s="174"/>
      <c r="W105" s="174"/>
      <c r="X105" s="174"/>
      <c r="Y105" s="174"/>
      <c r="Z105" s="174"/>
      <c r="AA105" s="174"/>
      <c r="AB105" s="174"/>
      <c r="AC105" s="174"/>
      <c r="AD105" s="174"/>
      <c r="AE105" s="174"/>
      <c r="AF105" s="509"/>
      <c r="AG105" s="509"/>
      <c r="AH105" s="174"/>
      <c r="AI105" s="509"/>
      <c r="AJ105" s="509"/>
      <c r="AK105" s="174"/>
      <c r="AL105" s="174"/>
      <c r="AM105" s="174"/>
      <c r="AN105" s="174"/>
      <c r="AO105" s="174"/>
      <c r="AP105" s="174"/>
      <c r="AQ105" s="174"/>
      <c r="AR105" s="174"/>
      <c r="AS105" s="174"/>
      <c r="AT105" s="174"/>
      <c r="AU105" s="174"/>
      <c r="AV105" s="174"/>
      <c r="AW105" s="174"/>
      <c r="AX105" s="174"/>
      <c r="AY105" s="174"/>
      <c r="AZ105" s="174"/>
      <c r="BA105" s="174"/>
      <c r="BB105" s="174"/>
      <c r="BC105" s="174"/>
      <c r="BD105" s="174"/>
      <c r="BE105" s="174"/>
      <c r="BF105" s="174"/>
      <c r="BG105" s="174"/>
    </row>
    <row r="106" spans="1:59" x14ac:dyDescent="0.25">
      <c r="A106" s="106">
        <v>2027</v>
      </c>
      <c r="F106" s="172" t="s">
        <v>184</v>
      </c>
      <c r="G106" s="172"/>
      <c r="H106" s="106" t="s">
        <v>197</v>
      </c>
      <c r="I106" s="173" t="s">
        <v>60</v>
      </c>
      <c r="J106" s="174" t="s">
        <v>207</v>
      </c>
      <c r="K106" s="576" t="s">
        <v>48</v>
      </c>
      <c r="L106" s="172" t="s">
        <v>204</v>
      </c>
      <c r="M106" s="172" t="s">
        <v>219</v>
      </c>
      <c r="N106" s="576"/>
      <c r="O106" s="174"/>
      <c r="P106" s="174"/>
      <c r="Q106" s="576"/>
      <c r="R106" s="174"/>
      <c r="S106" s="174"/>
      <c r="T106" s="576"/>
      <c r="U106" s="174"/>
      <c r="V106" s="174"/>
      <c r="W106" s="174"/>
      <c r="X106" s="174"/>
      <c r="Y106" s="174"/>
      <c r="Z106" s="174"/>
      <c r="AA106" s="174"/>
      <c r="AB106" s="174"/>
      <c r="AC106" s="174"/>
      <c r="AD106" s="174"/>
      <c r="AE106" s="174"/>
      <c r="AF106" s="509"/>
      <c r="AG106" s="509"/>
      <c r="AH106" s="174"/>
      <c r="AI106" s="509"/>
      <c r="AJ106" s="509"/>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row>
    <row r="107" spans="1:59" x14ac:dyDescent="0.25">
      <c r="A107" s="106">
        <v>2028</v>
      </c>
      <c r="F107" s="172" t="s">
        <v>185</v>
      </c>
      <c r="G107" s="172"/>
      <c r="H107" s="106" t="s">
        <v>198</v>
      </c>
      <c r="I107" s="173" t="s">
        <v>61</v>
      </c>
      <c r="J107" s="174" t="s">
        <v>62</v>
      </c>
      <c r="K107" s="576" t="s">
        <v>48</v>
      </c>
      <c r="L107" s="172" t="s">
        <v>204</v>
      </c>
      <c r="M107" s="172" t="s">
        <v>220</v>
      </c>
      <c r="N107" s="576"/>
      <c r="O107" s="174"/>
      <c r="P107" s="174"/>
      <c r="Q107" s="576"/>
      <c r="R107" s="174"/>
      <c r="S107" s="174"/>
      <c r="T107" s="576"/>
      <c r="U107" s="174"/>
      <c r="V107" s="174"/>
      <c r="W107" s="174"/>
      <c r="X107" s="174"/>
      <c r="Y107" s="174"/>
      <c r="Z107" s="174"/>
      <c r="AA107" s="174"/>
      <c r="AB107" s="174"/>
      <c r="AC107" s="174"/>
      <c r="AD107" s="174"/>
      <c r="AE107" s="174"/>
      <c r="AF107" s="509"/>
      <c r="AG107" s="509"/>
      <c r="AH107" s="174"/>
      <c r="AI107" s="509"/>
      <c r="AJ107" s="509"/>
      <c r="AK107" s="174"/>
      <c r="AL107" s="174"/>
      <c r="AM107" s="174"/>
      <c r="AN107" s="174"/>
      <c r="AO107" s="174"/>
      <c r="AP107" s="174"/>
      <c r="AQ107" s="174"/>
      <c r="AR107" s="174"/>
      <c r="AS107" s="174"/>
      <c r="AT107" s="174"/>
      <c r="AU107" s="174"/>
      <c r="AV107" s="174"/>
      <c r="AW107" s="174"/>
      <c r="AX107" s="174"/>
      <c r="AY107" s="174"/>
      <c r="AZ107" s="174"/>
      <c r="BA107" s="174"/>
      <c r="BB107" s="174"/>
      <c r="BC107" s="174"/>
      <c r="BD107" s="174"/>
      <c r="BE107" s="174"/>
      <c r="BF107" s="174"/>
      <c r="BG107" s="174"/>
    </row>
    <row r="108" spans="1:59" x14ac:dyDescent="0.25">
      <c r="F108" s="172" t="s">
        <v>186</v>
      </c>
      <c r="G108" s="172"/>
      <c r="H108" s="106" t="s">
        <v>199</v>
      </c>
      <c r="I108" s="173" t="s">
        <v>63</v>
      </c>
      <c r="J108" s="174" t="s">
        <v>207</v>
      </c>
      <c r="K108" s="576" t="s">
        <v>48</v>
      </c>
      <c r="L108" s="172" t="s">
        <v>204</v>
      </c>
      <c r="M108" s="172" t="s">
        <v>221</v>
      </c>
      <c r="N108" s="576"/>
      <c r="O108" s="174"/>
      <c r="P108" s="174"/>
      <c r="Q108" s="576"/>
      <c r="R108" s="174"/>
      <c r="S108" s="174"/>
      <c r="T108" s="576"/>
      <c r="U108" s="174"/>
      <c r="V108" s="174"/>
      <c r="W108" s="174"/>
      <c r="X108" s="174"/>
      <c r="Y108" s="174"/>
      <c r="Z108" s="174"/>
      <c r="AA108" s="174"/>
      <c r="AB108" s="174"/>
      <c r="AC108" s="174"/>
      <c r="AD108" s="174"/>
      <c r="AE108" s="174"/>
      <c r="AF108" s="509"/>
      <c r="AG108" s="509"/>
      <c r="AH108" s="174"/>
      <c r="AI108" s="509"/>
      <c r="AJ108" s="509"/>
      <c r="AK108" s="174"/>
      <c r="AL108" s="174"/>
      <c r="AM108" s="174"/>
      <c r="AN108" s="174"/>
      <c r="AO108" s="174"/>
      <c r="AP108" s="174"/>
      <c r="AQ108" s="174"/>
      <c r="AR108" s="174"/>
      <c r="AS108" s="174"/>
      <c r="AT108" s="174"/>
      <c r="AU108" s="174"/>
      <c r="AV108" s="174"/>
      <c r="AW108" s="174"/>
      <c r="AX108" s="174"/>
      <c r="AY108" s="174"/>
      <c r="AZ108" s="174"/>
      <c r="BA108" s="174"/>
      <c r="BB108" s="174"/>
      <c r="BC108" s="174"/>
      <c r="BD108" s="174"/>
      <c r="BE108" s="174"/>
      <c r="BF108" s="174"/>
      <c r="BG108" s="174"/>
    </row>
    <row r="109" spans="1:59" x14ac:dyDescent="0.25">
      <c r="F109" s="172" t="s">
        <v>187</v>
      </c>
      <c r="G109" s="172"/>
      <c r="H109" s="106" t="s">
        <v>200</v>
      </c>
      <c r="I109" s="173" t="s">
        <v>64</v>
      </c>
      <c r="J109" s="174" t="s">
        <v>207</v>
      </c>
      <c r="K109" s="576" t="s">
        <v>48</v>
      </c>
      <c r="L109" s="172" t="s">
        <v>204</v>
      </c>
      <c r="M109" s="172" t="s">
        <v>222</v>
      </c>
      <c r="N109" s="576"/>
      <c r="O109" s="174"/>
      <c r="P109" s="174"/>
      <c r="Q109" s="576"/>
      <c r="R109" s="174"/>
      <c r="S109" s="174"/>
      <c r="T109" s="576"/>
      <c r="U109" s="174"/>
      <c r="V109" s="174"/>
      <c r="W109" s="174"/>
      <c r="X109" s="174"/>
      <c r="Y109" s="174"/>
      <c r="Z109" s="174"/>
      <c r="AA109" s="174"/>
      <c r="AB109" s="174"/>
      <c r="AC109" s="174"/>
      <c r="AD109" s="174"/>
      <c r="AE109" s="174"/>
      <c r="AF109" s="509"/>
      <c r="AG109" s="509"/>
      <c r="AH109" s="174"/>
      <c r="AI109" s="509"/>
      <c r="AJ109" s="509"/>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row>
    <row r="110" spans="1:59" x14ac:dyDescent="0.25">
      <c r="F110" s="172" t="s">
        <v>188</v>
      </c>
      <c r="G110" s="172"/>
      <c r="H110" s="106" t="s">
        <v>201</v>
      </c>
      <c r="I110" s="173" t="s">
        <v>65</v>
      </c>
      <c r="J110" s="174" t="s">
        <v>207</v>
      </c>
      <c r="K110" s="576" t="s">
        <v>48</v>
      </c>
      <c r="L110" s="172" t="s">
        <v>204</v>
      </c>
      <c r="M110" s="172" t="s">
        <v>223</v>
      </c>
      <c r="N110" s="576"/>
      <c r="O110" s="174"/>
      <c r="P110" s="174"/>
      <c r="Q110" s="576"/>
      <c r="R110" s="174"/>
      <c r="S110" s="174"/>
      <c r="T110" s="576"/>
      <c r="U110" s="174"/>
      <c r="V110" s="174"/>
      <c r="W110" s="174"/>
      <c r="X110" s="174"/>
      <c r="Y110" s="174"/>
      <c r="Z110" s="174"/>
      <c r="AA110" s="174"/>
      <c r="AB110" s="174"/>
      <c r="AC110" s="174"/>
      <c r="AD110" s="174"/>
      <c r="AE110" s="174"/>
      <c r="AF110" s="509"/>
      <c r="AG110" s="509"/>
      <c r="AH110" s="174"/>
      <c r="AI110" s="509"/>
      <c r="AJ110" s="509"/>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row>
    <row r="111" spans="1:59" x14ac:dyDescent="0.25">
      <c r="F111" s="172" t="s">
        <v>59</v>
      </c>
      <c r="G111" s="172"/>
      <c r="H111" s="106" t="s">
        <v>203</v>
      </c>
      <c r="I111" s="173" t="s">
        <v>66</v>
      </c>
      <c r="J111" s="174" t="s">
        <v>225</v>
      </c>
      <c r="K111" s="576" t="s">
        <v>48</v>
      </c>
      <c r="L111" s="174" t="s">
        <v>205</v>
      </c>
      <c r="M111" s="172" t="s">
        <v>224</v>
      </c>
      <c r="N111" s="576"/>
      <c r="O111" s="174"/>
      <c r="P111" s="174"/>
      <c r="Q111" s="576"/>
      <c r="R111" s="174"/>
      <c r="S111" s="174"/>
      <c r="T111" s="576"/>
      <c r="U111" s="174"/>
      <c r="V111" s="174"/>
      <c r="W111" s="174"/>
      <c r="X111" s="174"/>
      <c r="Y111" s="174"/>
      <c r="Z111" s="174"/>
      <c r="AA111" s="174"/>
      <c r="AB111" s="174"/>
      <c r="AC111" s="174"/>
      <c r="AD111" s="174"/>
      <c r="AE111" s="174"/>
      <c r="AF111" s="509"/>
      <c r="AG111" s="509"/>
      <c r="AH111" s="174"/>
      <c r="AI111" s="509"/>
      <c r="AJ111" s="509"/>
      <c r="AK111" s="174"/>
      <c r="AL111" s="174"/>
      <c r="AM111" s="174"/>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row>
    <row r="112" spans="1:59" x14ac:dyDescent="0.25">
      <c r="F112" s="172" t="s">
        <v>189</v>
      </c>
      <c r="G112" s="179"/>
      <c r="M112" s="172"/>
      <c r="N112" s="576"/>
      <c r="O112" s="174"/>
      <c r="P112" s="174"/>
      <c r="Q112" s="576"/>
      <c r="R112" s="174"/>
      <c r="S112" s="174"/>
      <c r="T112" s="576"/>
      <c r="U112" s="174"/>
      <c r="V112" s="174"/>
      <c r="W112" s="174"/>
      <c r="X112" s="174"/>
      <c r="Y112" s="174"/>
      <c r="Z112" s="174"/>
      <c r="AA112" s="174"/>
      <c r="AB112" s="174"/>
      <c r="AC112" s="174"/>
      <c r="AD112" s="174"/>
      <c r="AE112" s="174"/>
      <c r="AF112" s="509"/>
      <c r="AG112" s="509"/>
      <c r="AH112" s="174"/>
      <c r="AI112" s="509"/>
      <c r="AJ112" s="509"/>
      <c r="AK112" s="174"/>
      <c r="AL112" s="174"/>
      <c r="AM112" s="174"/>
      <c r="AN112" s="174"/>
      <c r="AO112" s="174"/>
      <c r="AP112" s="174"/>
      <c r="AQ112" s="174"/>
      <c r="AR112" s="174"/>
      <c r="AS112" s="174"/>
      <c r="AT112" s="174"/>
      <c r="AU112" s="174"/>
      <c r="AV112" s="174"/>
      <c r="AW112" s="174"/>
      <c r="AX112" s="174"/>
      <c r="AY112" s="174"/>
      <c r="AZ112" s="174"/>
      <c r="BA112" s="174"/>
      <c r="BB112" s="174"/>
      <c r="BC112" s="174"/>
      <c r="BD112" s="174"/>
      <c r="BE112" s="174"/>
      <c r="BF112" s="174"/>
      <c r="BG112" s="174"/>
    </row>
    <row r="113" spans="6:59" x14ac:dyDescent="0.25">
      <c r="F113" s="172" t="s">
        <v>190</v>
      </c>
      <c r="G113" s="179"/>
      <c r="M113" s="172"/>
      <c r="N113" s="576"/>
      <c r="O113" s="174"/>
      <c r="P113" s="174"/>
      <c r="Q113" s="576"/>
      <c r="R113" s="174"/>
      <c r="S113" s="174"/>
      <c r="T113" s="576"/>
      <c r="U113" s="174"/>
      <c r="V113" s="174"/>
      <c r="W113" s="174"/>
      <c r="X113" s="174"/>
      <c r="Y113" s="174"/>
      <c r="Z113" s="174"/>
      <c r="AA113" s="174"/>
      <c r="AB113" s="174"/>
      <c r="AC113" s="174"/>
      <c r="AD113" s="174"/>
      <c r="AE113" s="174"/>
      <c r="AF113" s="509"/>
      <c r="AG113" s="509"/>
      <c r="AH113" s="174"/>
      <c r="AI113" s="509"/>
      <c r="AJ113" s="509"/>
      <c r="AK113" s="174"/>
      <c r="AL113" s="174"/>
      <c r="AM113" s="174"/>
      <c r="AN113" s="174"/>
      <c r="AO113" s="174"/>
      <c r="AP113" s="174"/>
      <c r="AQ113" s="174"/>
      <c r="AR113" s="174"/>
      <c r="AS113" s="174"/>
      <c r="AT113" s="174"/>
      <c r="AU113" s="174"/>
      <c r="AV113" s="174"/>
      <c r="AW113" s="174"/>
      <c r="AX113" s="174"/>
      <c r="AY113" s="174"/>
      <c r="AZ113" s="174"/>
      <c r="BA113" s="174"/>
      <c r="BB113" s="174"/>
      <c r="BC113" s="174"/>
      <c r="BD113" s="174"/>
      <c r="BE113" s="174"/>
      <c r="BF113" s="174"/>
      <c r="BG113" s="174"/>
    </row>
    <row r="114" spans="6:59" x14ac:dyDescent="0.25">
      <c r="F114" s="172" t="s">
        <v>191</v>
      </c>
      <c r="G114" s="175"/>
      <c r="M114" s="172"/>
      <c r="N114" s="576"/>
      <c r="O114" s="174"/>
      <c r="P114" s="174"/>
      <c r="Q114" s="576"/>
      <c r="R114" s="174"/>
      <c r="S114" s="174"/>
      <c r="T114" s="576"/>
      <c r="U114" s="174"/>
      <c r="V114" s="174"/>
      <c r="W114" s="174"/>
      <c r="X114" s="174"/>
      <c r="Y114" s="174"/>
      <c r="Z114" s="174"/>
      <c r="AA114" s="174"/>
      <c r="AB114" s="174"/>
      <c r="AC114" s="174"/>
      <c r="AD114" s="174"/>
      <c r="AE114" s="174"/>
      <c r="AF114" s="509"/>
      <c r="AG114" s="509"/>
      <c r="AH114" s="174"/>
      <c r="AI114" s="509"/>
      <c r="AJ114" s="509"/>
      <c r="AK114" s="174"/>
      <c r="AL114" s="174"/>
      <c r="AM114" s="174"/>
      <c r="AN114" s="174"/>
      <c r="AO114" s="174"/>
      <c r="AP114" s="174"/>
      <c r="AQ114" s="174"/>
      <c r="AR114" s="174"/>
      <c r="AS114" s="174"/>
      <c r="AT114" s="174"/>
      <c r="AU114" s="174"/>
      <c r="AV114" s="174"/>
      <c r="AW114" s="174"/>
      <c r="AX114" s="174"/>
      <c r="AY114" s="174"/>
      <c r="AZ114" s="174"/>
      <c r="BA114" s="174"/>
      <c r="BB114" s="174"/>
      <c r="BC114" s="174"/>
      <c r="BD114" s="174"/>
      <c r="BE114" s="174"/>
      <c r="BF114" s="174"/>
      <c r="BG114" s="174"/>
    </row>
    <row r="115" spans="6:59" x14ac:dyDescent="0.25">
      <c r="F115" s="172" t="s">
        <v>202</v>
      </c>
      <c r="G115" s="174"/>
      <c r="J115" s="174"/>
      <c r="K115" s="576"/>
      <c r="L115" s="174"/>
      <c r="M115" s="172"/>
      <c r="N115" s="576"/>
      <c r="O115" s="174"/>
      <c r="P115" s="174"/>
      <c r="Q115" s="576"/>
      <c r="R115" s="174"/>
      <c r="S115" s="174"/>
      <c r="T115" s="576"/>
      <c r="U115" s="174"/>
      <c r="V115" s="174"/>
      <c r="W115" s="174"/>
      <c r="X115" s="174"/>
      <c r="Y115" s="174"/>
      <c r="Z115" s="174"/>
      <c r="AA115" s="174"/>
      <c r="AB115" s="174"/>
      <c r="AC115" s="174"/>
      <c r="AD115" s="174"/>
      <c r="AE115" s="174"/>
      <c r="AF115" s="509"/>
      <c r="AG115" s="509"/>
      <c r="AH115" s="174"/>
      <c r="AI115" s="509"/>
      <c r="AJ115" s="509"/>
      <c r="AK115" s="174"/>
      <c r="AL115" s="174"/>
      <c r="AM115" s="174"/>
      <c r="AN115" s="174"/>
      <c r="AO115" s="174"/>
      <c r="AP115" s="174"/>
      <c r="AQ115" s="174"/>
      <c r="AR115" s="174"/>
      <c r="AS115" s="174"/>
      <c r="AT115" s="174"/>
      <c r="AU115" s="174"/>
      <c r="AV115" s="174"/>
      <c r="AW115" s="174"/>
      <c r="AX115" s="174"/>
      <c r="AY115" s="174"/>
      <c r="AZ115" s="174"/>
      <c r="BA115" s="174"/>
      <c r="BB115" s="174"/>
      <c r="BC115" s="174"/>
      <c r="BD115" s="174"/>
      <c r="BE115" s="174"/>
      <c r="BF115" s="174"/>
      <c r="BG115" s="174"/>
    </row>
    <row r="116" spans="6:59" x14ac:dyDescent="0.25">
      <c r="F116" s="179"/>
      <c r="G116" s="174"/>
      <c r="J116" s="174"/>
      <c r="K116" s="576"/>
      <c r="L116" s="174"/>
      <c r="M116" s="172"/>
      <c r="N116" s="576"/>
    </row>
    <row r="117" spans="6:59" x14ac:dyDescent="0.25">
      <c r="F117" s="179"/>
      <c r="G117" s="174"/>
      <c r="I117" s="175"/>
      <c r="M117" s="172"/>
    </row>
    <row r="118" spans="6:59" x14ac:dyDescent="0.25">
      <c r="F118" s="175" t="s">
        <v>102</v>
      </c>
      <c r="G118" s="174"/>
      <c r="I118" s="172"/>
      <c r="M118" s="172"/>
    </row>
    <row r="119" spans="6:59" x14ac:dyDescent="0.25">
      <c r="F119" s="174" t="s">
        <v>43</v>
      </c>
      <c r="G119" s="175"/>
      <c r="H119" s="172"/>
      <c r="I119" s="172"/>
      <c r="J119" s="172"/>
      <c r="M119" s="172"/>
    </row>
    <row r="120" spans="6:59" x14ac:dyDescent="0.25">
      <c r="F120" s="174" t="s">
        <v>103</v>
      </c>
      <c r="G120" s="174"/>
      <c r="H120" s="180"/>
      <c r="I120" s="172"/>
      <c r="J120" s="180"/>
      <c r="M120" s="172"/>
    </row>
    <row r="121" spans="6:59" x14ac:dyDescent="0.25">
      <c r="F121" s="174" t="s">
        <v>41</v>
      </c>
      <c r="G121" s="174"/>
      <c r="H121" s="172"/>
      <c r="I121" s="175"/>
      <c r="J121" s="172"/>
      <c r="M121" s="172"/>
    </row>
    <row r="122" spans="6:59" x14ac:dyDescent="0.25">
      <c r="F122" s="174"/>
      <c r="G122" s="175"/>
      <c r="H122" s="172"/>
      <c r="I122" s="172"/>
      <c r="J122" s="172"/>
      <c r="M122" s="172"/>
    </row>
    <row r="123" spans="6:59" x14ac:dyDescent="0.25">
      <c r="F123" s="175" t="s">
        <v>104</v>
      </c>
      <c r="G123" s="175"/>
      <c r="H123" s="172"/>
      <c r="I123" s="172"/>
      <c r="J123" s="172"/>
      <c r="M123" s="172"/>
    </row>
    <row r="124" spans="6:59" x14ac:dyDescent="0.25">
      <c r="F124" s="174" t="s">
        <v>39</v>
      </c>
      <c r="H124" s="172"/>
      <c r="I124" s="172"/>
      <c r="J124" s="172"/>
      <c r="M124" s="172"/>
    </row>
    <row r="125" spans="6:59" x14ac:dyDescent="0.25">
      <c r="F125" s="174" t="s">
        <v>42</v>
      </c>
      <c r="G125" s="174"/>
      <c r="H125" s="172"/>
      <c r="I125" s="172"/>
      <c r="J125" s="172"/>
      <c r="M125" s="172"/>
    </row>
    <row r="126" spans="6:59" x14ac:dyDescent="0.25">
      <c r="F126" s="175"/>
      <c r="G126" s="174"/>
      <c r="H126" s="172"/>
      <c r="I126" s="172"/>
      <c r="J126" s="172"/>
      <c r="M126" s="172"/>
    </row>
    <row r="127" spans="6:59" x14ac:dyDescent="0.25">
      <c r="F127" s="175" t="s">
        <v>105</v>
      </c>
      <c r="G127" s="172"/>
      <c r="H127" s="172"/>
      <c r="I127" s="172"/>
      <c r="J127" s="172"/>
      <c r="M127" s="172"/>
    </row>
    <row r="128" spans="6:59" x14ac:dyDescent="0.25">
      <c r="G128" s="172"/>
      <c r="H128" s="172"/>
      <c r="I128" s="172"/>
      <c r="J128" s="172"/>
      <c r="M128" s="172"/>
    </row>
    <row r="129" spans="2:13" x14ac:dyDescent="0.25">
      <c r="B129" s="106">
        <v>1</v>
      </c>
      <c r="F129" s="174" t="s">
        <v>40</v>
      </c>
      <c r="G129" s="174"/>
      <c r="H129" s="172"/>
      <c r="I129" s="172"/>
      <c r="J129" s="172"/>
      <c r="M129" s="172"/>
    </row>
    <row r="130" spans="2:13" x14ac:dyDescent="0.25">
      <c r="B130" s="106">
        <v>2</v>
      </c>
      <c r="F130" s="174" t="s">
        <v>106</v>
      </c>
      <c r="G130" s="174"/>
      <c r="H130" s="172"/>
      <c r="I130" s="172"/>
      <c r="J130" s="172"/>
      <c r="M130" s="172"/>
    </row>
    <row r="131" spans="2:13" x14ac:dyDescent="0.25">
      <c r="B131" s="106">
        <v>3</v>
      </c>
      <c r="F131" s="174" t="s">
        <v>242</v>
      </c>
      <c r="G131" s="174"/>
      <c r="M131" s="172"/>
    </row>
    <row r="132" spans="2:13" x14ac:dyDescent="0.25">
      <c r="B132" s="106">
        <v>4</v>
      </c>
      <c r="F132" s="172"/>
      <c r="G132" s="174"/>
      <c r="M132" s="172"/>
    </row>
    <row r="133" spans="2:13" ht="17.25" x14ac:dyDescent="0.25">
      <c r="B133" s="106">
        <v>5</v>
      </c>
      <c r="F133" s="303" t="s">
        <v>593</v>
      </c>
      <c r="G133" s="174"/>
      <c r="M133" s="172"/>
    </row>
    <row r="134" spans="2:13" ht="17.25" x14ac:dyDescent="0.25">
      <c r="B134" s="106">
        <v>6</v>
      </c>
      <c r="F134" s="303" t="s">
        <v>594</v>
      </c>
      <c r="G134" s="174"/>
      <c r="M134" s="172"/>
    </row>
    <row r="135" spans="2:13" ht="17.25" x14ac:dyDescent="0.25">
      <c r="B135" s="106">
        <v>7</v>
      </c>
      <c r="F135" s="303" t="s">
        <v>595</v>
      </c>
      <c r="G135" s="174"/>
      <c r="M135" s="172"/>
    </row>
    <row r="136" spans="2:13" ht="17.25" x14ac:dyDescent="0.25">
      <c r="F136" s="303" t="s">
        <v>596</v>
      </c>
      <c r="G136" s="174"/>
      <c r="M136" s="172"/>
    </row>
    <row r="137" spans="2:13" ht="17.25" x14ac:dyDescent="0.25">
      <c r="F137" s="303" t="s">
        <v>211</v>
      </c>
      <c r="G137" s="174"/>
      <c r="M137" s="172"/>
    </row>
    <row r="138" spans="2:13" ht="17.25" x14ac:dyDescent="0.25">
      <c r="F138" s="303" t="s">
        <v>597</v>
      </c>
      <c r="G138" s="174"/>
      <c r="M138" s="172"/>
    </row>
    <row r="139" spans="2:13" ht="17.25" x14ac:dyDescent="0.25">
      <c r="F139" s="303" t="s">
        <v>598</v>
      </c>
      <c r="G139" s="174"/>
      <c r="M139" s="172"/>
    </row>
    <row r="140" spans="2:13" x14ac:dyDescent="0.25">
      <c r="F140" s="174"/>
      <c r="G140" s="174"/>
      <c r="M140" s="172"/>
    </row>
    <row r="141" spans="2:13" x14ac:dyDescent="0.25">
      <c r="F141" s="174"/>
      <c r="G141" s="174"/>
      <c r="M141" s="172"/>
    </row>
    <row r="142" spans="2:13" x14ac:dyDescent="0.25">
      <c r="F142" s="174"/>
      <c r="G142" s="174"/>
      <c r="M142" s="172"/>
    </row>
    <row r="143" spans="2:13" x14ac:dyDescent="0.25">
      <c r="F143" s="174"/>
      <c r="G143" s="174"/>
      <c r="M143" s="172"/>
    </row>
    <row r="144" spans="2:13" x14ac:dyDescent="0.25">
      <c r="F144" s="174"/>
      <c r="G144" s="174"/>
      <c r="M144" s="172"/>
    </row>
    <row r="145" spans="6:13" x14ac:dyDescent="0.25">
      <c r="F145" s="174"/>
      <c r="G145" s="174"/>
      <c r="M145" s="172"/>
    </row>
    <row r="146" spans="6:13" x14ac:dyDescent="0.25">
      <c r="F146" s="174"/>
      <c r="G146" s="174"/>
      <c r="M146" s="172"/>
    </row>
    <row r="147" spans="6:13" x14ac:dyDescent="0.25">
      <c r="F147" s="174"/>
      <c r="G147" s="174"/>
      <c r="M147" s="172"/>
    </row>
    <row r="148" spans="6:13" x14ac:dyDescent="0.25">
      <c r="F148" s="174"/>
      <c r="G148" s="174"/>
      <c r="M148" s="172"/>
    </row>
    <row r="149" spans="6:13" x14ac:dyDescent="0.25">
      <c r="F149" s="174"/>
      <c r="G149" s="174"/>
      <c r="M149" s="172"/>
    </row>
    <row r="150" spans="6:13" x14ac:dyDescent="0.25">
      <c r="F150" s="174"/>
      <c r="G150" s="174"/>
      <c r="M150" s="172"/>
    </row>
    <row r="151" spans="6:13" x14ac:dyDescent="0.25">
      <c r="F151" s="174"/>
      <c r="G151" s="174"/>
      <c r="M151" s="172"/>
    </row>
    <row r="152" spans="6:13" x14ac:dyDescent="0.25">
      <c r="F152" s="174"/>
      <c r="G152" s="174"/>
      <c r="M152" s="172"/>
    </row>
    <row r="153" spans="6:13" x14ac:dyDescent="0.25">
      <c r="F153" s="174"/>
      <c r="G153" s="174"/>
    </row>
    <row r="154" spans="6:13" x14ac:dyDescent="0.25">
      <c r="F154" s="174"/>
      <c r="G154" s="174"/>
    </row>
    <row r="155" spans="6:13" x14ac:dyDescent="0.25">
      <c r="F155" s="174"/>
      <c r="G155" s="174"/>
    </row>
    <row r="156" spans="6:13" x14ac:dyDescent="0.25">
      <c r="F156" s="174"/>
      <c r="G156" s="174"/>
    </row>
    <row r="157" spans="6:13" x14ac:dyDescent="0.25">
      <c r="F157" s="174"/>
      <c r="G157" s="174"/>
    </row>
    <row r="158" spans="6:13" x14ac:dyDescent="0.25">
      <c r="F158" s="174"/>
      <c r="G158" s="174"/>
    </row>
    <row r="159" spans="6:13" x14ac:dyDescent="0.25">
      <c r="F159" s="174"/>
      <c r="G159" s="174"/>
    </row>
    <row r="160" spans="6:13" x14ac:dyDescent="0.25">
      <c r="F160" s="174"/>
      <c r="G160" s="174"/>
    </row>
    <row r="161" spans="6:7" x14ac:dyDescent="0.25">
      <c r="F161" s="174"/>
      <c r="G161" s="174"/>
    </row>
    <row r="162" spans="6:7" x14ac:dyDescent="0.25">
      <c r="F162" s="174"/>
      <c r="G162" s="174"/>
    </row>
    <row r="163" spans="6:7" x14ac:dyDescent="0.25">
      <c r="F163" s="174"/>
      <c r="G163" s="174"/>
    </row>
    <row r="164" spans="6:7" x14ac:dyDescent="0.25">
      <c r="F164" s="174"/>
      <c r="G164" s="174"/>
    </row>
    <row r="165" spans="6:7" x14ac:dyDescent="0.25">
      <c r="F165" s="174"/>
      <c r="G165" s="174"/>
    </row>
    <row r="166" spans="6:7" x14ac:dyDescent="0.25">
      <c r="F166" s="174"/>
      <c r="G166" s="174"/>
    </row>
    <row r="167" spans="6:7" x14ac:dyDescent="0.25">
      <c r="F167" s="174"/>
      <c r="G167" s="174"/>
    </row>
    <row r="168" spans="6:7" x14ac:dyDescent="0.25">
      <c r="F168" s="174"/>
      <c r="G168" s="174"/>
    </row>
    <row r="169" spans="6:7" x14ac:dyDescent="0.25">
      <c r="F169" s="174"/>
      <c r="G169" s="174"/>
    </row>
    <row r="170" spans="6:7" x14ac:dyDescent="0.25">
      <c r="F170" s="174"/>
      <c r="G170" s="174"/>
    </row>
    <row r="171" spans="6:7" x14ac:dyDescent="0.25">
      <c r="F171" s="174"/>
      <c r="G171" s="174"/>
    </row>
    <row r="172" spans="6:7" x14ac:dyDescent="0.25">
      <c r="F172" s="174"/>
      <c r="G172" s="174"/>
    </row>
    <row r="173" spans="6:7" x14ac:dyDescent="0.25">
      <c r="F173" s="174"/>
      <c r="G173" s="174"/>
    </row>
    <row r="174" spans="6:7" x14ac:dyDescent="0.25">
      <c r="F174" s="174"/>
      <c r="G174" s="174"/>
    </row>
    <row r="175" spans="6:7" x14ac:dyDescent="0.25">
      <c r="F175" s="174"/>
      <c r="G175" s="174"/>
    </row>
    <row r="176" spans="6:7" x14ac:dyDescent="0.25">
      <c r="F176" s="174"/>
      <c r="G176" s="174"/>
    </row>
    <row r="177" spans="6:7" x14ac:dyDescent="0.25">
      <c r="F177" s="174"/>
      <c r="G177" s="174"/>
    </row>
    <row r="178" spans="6:7" x14ac:dyDescent="0.25">
      <c r="F178" s="174"/>
      <c r="G178" s="174"/>
    </row>
    <row r="179" spans="6:7" x14ac:dyDescent="0.25">
      <c r="F179" s="174"/>
      <c r="G179" s="174"/>
    </row>
    <row r="180" spans="6:7" x14ac:dyDescent="0.25">
      <c r="F180" s="174"/>
      <c r="G180" s="174"/>
    </row>
    <row r="181" spans="6:7" x14ac:dyDescent="0.25">
      <c r="F181" s="174"/>
      <c r="G181" s="174"/>
    </row>
    <row r="182" spans="6:7" x14ac:dyDescent="0.25">
      <c r="F182" s="174"/>
      <c r="G182" s="174"/>
    </row>
    <row r="183" spans="6:7" x14ac:dyDescent="0.25">
      <c r="F183" s="174"/>
    </row>
    <row r="184" spans="6:7" x14ac:dyDescent="0.25">
      <c r="F184" s="174"/>
    </row>
    <row r="185" spans="6:7" x14ac:dyDescent="0.25">
      <c r="F185" s="174"/>
    </row>
    <row r="186" spans="6:7" x14ac:dyDescent="0.25">
      <c r="F186" s="174"/>
    </row>
  </sheetData>
  <sheetProtection algorithmName="SHA-512" hashValue="nfdfQdCwHC7W5xkqhalbWh+9kZnsskjaJdcIZq6NZWCmNC30EH+bqfVyEwOjcHK9Nf1UhiAn2uzwmZFeOfJD4w==" saltValue="A9KJH5E00+Kn8ZBxgpX+VQ==" spinCount="100000" sheet="1" objects="1" scenarios="1"/>
  <mergeCells count="64">
    <mergeCell ref="E8:E10"/>
    <mergeCell ref="A8:A10"/>
    <mergeCell ref="D8:D10"/>
    <mergeCell ref="AI9:AJ9"/>
    <mergeCell ref="J8:J10"/>
    <mergeCell ref="K8:Y8"/>
    <mergeCell ref="AH9:AH10"/>
    <mergeCell ref="B8:B10"/>
    <mergeCell ref="F8:F10"/>
    <mergeCell ref="H8:H10"/>
    <mergeCell ref="I8:I10"/>
    <mergeCell ref="C8:C10"/>
    <mergeCell ref="G8:G10"/>
    <mergeCell ref="K9:M9"/>
    <mergeCell ref="N9:P9"/>
    <mergeCell ref="Q9:S9"/>
    <mergeCell ref="AE8:AE10"/>
    <mergeCell ref="AF8:AH8"/>
    <mergeCell ref="AD9:AD10"/>
    <mergeCell ref="AF9:AG9"/>
    <mergeCell ref="T9:V9"/>
    <mergeCell ref="W9:Y9"/>
    <mergeCell ref="AA9:AA10"/>
    <mergeCell ref="AB9:AC9"/>
    <mergeCell ref="Z8:Z10"/>
    <mergeCell ref="AA8:AD8"/>
    <mergeCell ref="AO9:AP9"/>
    <mergeCell ref="AQ9:AQ10"/>
    <mergeCell ref="AI8:AK8"/>
    <mergeCell ref="AL8:AN8"/>
    <mergeCell ref="AO8:AQ8"/>
    <mergeCell ref="AK9:AK10"/>
    <mergeCell ref="AL9:AM9"/>
    <mergeCell ref="AN9:AN10"/>
    <mergeCell ref="A1:F3"/>
    <mergeCell ref="H1:Z1"/>
    <mergeCell ref="H2:Z2"/>
    <mergeCell ref="H3:Q3"/>
    <mergeCell ref="R3:S3"/>
    <mergeCell ref="T3:Z3"/>
    <mergeCell ref="A4:F4"/>
    <mergeCell ref="H4:Z4"/>
    <mergeCell ref="A5:F5"/>
    <mergeCell ref="H5:U5"/>
    <mergeCell ref="V5:W5"/>
    <mergeCell ref="X5:Z5"/>
    <mergeCell ref="A6:F6"/>
    <mergeCell ref="H6:Z6"/>
    <mergeCell ref="A7:F7"/>
    <mergeCell ref="H7:U7"/>
    <mergeCell ref="V7:Y7"/>
    <mergeCell ref="D26:D27"/>
    <mergeCell ref="A19:A25"/>
    <mergeCell ref="B11:B16"/>
    <mergeCell ref="D11:D16"/>
    <mergeCell ref="D19:D22"/>
    <mergeCell ref="B19:B22"/>
    <mergeCell ref="C11:C16"/>
    <mergeCell ref="A11:A16"/>
    <mergeCell ref="C19:C22"/>
    <mergeCell ref="A26:A27"/>
    <mergeCell ref="C23:C25"/>
    <mergeCell ref="D23:D25"/>
    <mergeCell ref="B23:B25"/>
  </mergeCells>
  <conditionalFormatting sqref="M24:M27 Y24:Y27 P25:P27 S25:S27 V25:V27 V11:V22 S11:S22 P11:P22 Y11:Y22 M11:M22">
    <cfRule type="cellIs" dxfId="77" priority="13" stopIfTrue="1" operator="equal">
      <formula>0</formula>
    </cfRule>
    <cfRule type="cellIs" dxfId="76" priority="14" stopIfTrue="1" operator="greaterThan">
      <formula>1</formula>
    </cfRule>
    <cfRule type="cellIs" dxfId="75" priority="15" stopIfTrue="1" operator="between">
      <formula>0.9</formula>
      <formula>1</formula>
    </cfRule>
    <cfRule type="cellIs" dxfId="74" priority="16" stopIfTrue="1" operator="between">
      <formula>0.7</formula>
      <formula>0.8999</formula>
    </cfRule>
    <cfRule type="cellIs" dxfId="73" priority="17" stopIfTrue="1" operator="between">
      <formula>0.00001</formula>
      <formula>0.6999</formula>
    </cfRule>
  </conditionalFormatting>
  <conditionalFormatting sqref="P12:P22 P25:P27">
    <cfRule type="colorScale" priority="18">
      <colorScale>
        <cfvo type="min"/>
        <cfvo type="percent" val="100"/>
        <color rgb="FFFF7128"/>
        <color theme="0"/>
      </colorScale>
    </cfRule>
  </conditionalFormatting>
  <conditionalFormatting sqref="V23 S23 P23 Y23 M23">
    <cfRule type="cellIs" dxfId="72" priority="7" stopIfTrue="1" operator="equal">
      <formula>0</formula>
    </cfRule>
    <cfRule type="cellIs" dxfId="71" priority="8" stopIfTrue="1" operator="greaterThan">
      <formula>1</formula>
    </cfRule>
    <cfRule type="cellIs" dxfId="70" priority="9" stopIfTrue="1" operator="between">
      <formula>0.9</formula>
      <formula>1</formula>
    </cfRule>
    <cfRule type="cellIs" dxfId="69" priority="10" stopIfTrue="1" operator="between">
      <formula>0.7</formula>
      <formula>0.8999</formula>
    </cfRule>
    <cfRule type="cellIs" dxfId="68" priority="11" stopIfTrue="1" operator="between">
      <formula>0.00001</formula>
      <formula>0.6999</formula>
    </cfRule>
  </conditionalFormatting>
  <conditionalFormatting sqref="P23">
    <cfRule type="colorScale" priority="12">
      <colorScale>
        <cfvo type="min"/>
        <cfvo type="percent" val="100"/>
        <color rgb="FFFF7128"/>
        <color theme="0"/>
      </colorScale>
    </cfRule>
  </conditionalFormatting>
  <conditionalFormatting sqref="V24 S24 P24">
    <cfRule type="cellIs" dxfId="67" priority="1" stopIfTrue="1" operator="equal">
      <formula>0</formula>
    </cfRule>
    <cfRule type="cellIs" dxfId="66" priority="2" stopIfTrue="1" operator="greaterThan">
      <formula>1</formula>
    </cfRule>
    <cfRule type="cellIs" dxfId="65" priority="3" stopIfTrue="1" operator="between">
      <formula>0.9</formula>
      <formula>1</formula>
    </cfRule>
    <cfRule type="cellIs" dxfId="64" priority="4" stopIfTrue="1" operator="between">
      <formula>0.7</formula>
      <formula>0.8999</formula>
    </cfRule>
    <cfRule type="cellIs" dxfId="63" priority="5" stopIfTrue="1" operator="between">
      <formula>0.00001</formula>
      <formula>0.6999</formula>
    </cfRule>
  </conditionalFormatting>
  <conditionalFormatting sqref="P24">
    <cfRule type="colorScale" priority="6">
      <colorScale>
        <cfvo type="min"/>
        <cfvo type="percent" val="100"/>
        <color rgb="FFFF7128"/>
        <color theme="0"/>
      </colorScale>
    </cfRule>
  </conditionalFormatting>
  <dataValidations count="12">
    <dataValidation type="list" allowBlank="1" showInputMessage="1" showErrorMessage="1" prompt="Seleccione el Objetivo Estratégico" sqref="A11 A17:A19">
      <formula1>$F$132:$F$142</formula1>
    </dataValidation>
    <dataValidation type="list" allowBlank="1" showInputMessage="1" showErrorMessage="1" prompt="Seleccione la Vigencia del Plan de Gestión" sqref="R3:S3">
      <formula1>$A$96:$A$107</formula1>
    </dataValidation>
    <dataValidation allowBlank="1" showInputMessage="1" showErrorMessage="1" sqref="X5:Z5"/>
    <dataValidation showInputMessage="1" showErrorMessage="1" sqref="V5"/>
    <dataValidation type="list" allowBlank="1" showInputMessage="1" showErrorMessage="1" prompt="Elija una opción del menú desplegable" sqref="H5">
      <formula1>$F$100:$F$115</formula1>
    </dataValidation>
    <dataValidation type="list" allowBlank="1" showInputMessage="1" showErrorMessage="1" sqref="I8:I10">
      <formula1>$F$124:$F$125</formula1>
    </dataValidation>
    <dataValidation type="list" allowBlank="1" showInputMessage="1" showErrorMessage="1" prompt="Elija una opción del menu desplegable" sqref="I26:I27">
      <formula1>$C$110:$C$111</formula1>
    </dataValidation>
    <dataValidation type="list" allowBlank="1" showInputMessage="1" showErrorMessage="1" sqref="A26:A27">
      <formula1>$F$133:$F$139</formula1>
    </dataValidation>
    <dataValidation type="list" allowBlank="1" showInputMessage="1" showErrorMessage="1" prompt="Elija una opción del menu desplegable" sqref="I11:I25">
      <formula1>$F$124:$F$125</formula1>
    </dataValidation>
    <dataValidation type="list" allowBlank="1" showInputMessage="1" showErrorMessage="1" error="Debe seleccionar uno de los campos del menu desplegable" prompt="Elija una opción del menu desplegable" sqref="J11:J27">
      <formula1>$F$129:$F$130</formula1>
    </dataValidation>
    <dataValidation errorStyle="information" showInputMessage="1" showErrorMessage="1" error="Elija una Categoría" prompt="Elija una Categoría del menú desplegable" sqref="AE11:AE27"/>
    <dataValidation type="list" errorStyle="information" showInputMessage="1" showErrorMessage="1" error="Elija una Categoría" prompt="Elija una opción del menú desplegable" sqref="AD11:AD27">
      <formula1>$F$119:$F$121</formula1>
    </dataValidation>
  </dataValidations>
  <pageMargins left="0.7" right="0.7" top="0.75" bottom="0.75" header="0.3" footer="0.3"/>
  <pageSetup scale="19" orientation="landscape" r:id="rId1"/>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41D23A"/>
  </sheetPr>
  <dimension ref="A1:BG183"/>
  <sheetViews>
    <sheetView topLeftCell="A17" zoomScale="55" zoomScaleNormal="55" workbookViewId="0">
      <selection activeCell="S28" sqref="S28"/>
    </sheetView>
  </sheetViews>
  <sheetFormatPr baseColWidth="10" defaultColWidth="11.5" defaultRowHeight="15.75" x14ac:dyDescent="0.25"/>
  <cols>
    <col min="1" max="1" width="14.5" style="106" customWidth="1"/>
    <col min="2" max="2" width="5.125" style="106" customWidth="1"/>
    <col min="3" max="3" width="27.125" style="106" customWidth="1"/>
    <col min="4" max="4" width="9.75" style="106" customWidth="1"/>
    <col min="5" max="5" width="12.25" style="106" customWidth="1"/>
    <col min="6" max="6" width="29.5" style="106" customWidth="1"/>
    <col min="7" max="7" width="12.125" style="106" customWidth="1"/>
    <col min="8" max="8" width="10.75" style="106" customWidth="1"/>
    <col min="9" max="9" width="10.625" style="106" customWidth="1"/>
    <col min="10" max="10" width="17" style="106" customWidth="1"/>
    <col min="11" max="11" width="10.375" style="106" customWidth="1"/>
    <col min="12" max="12" width="11.375" style="106" customWidth="1"/>
    <col min="13" max="13" width="9.75" style="106" customWidth="1"/>
    <col min="14" max="14" width="9.375" style="106" customWidth="1"/>
    <col min="15" max="15" width="11.875" style="106" customWidth="1"/>
    <col min="16" max="16" width="9.875" style="106" customWidth="1"/>
    <col min="17" max="17" width="6.125" style="106" customWidth="1"/>
    <col min="18" max="18" width="6.375" style="106" customWidth="1"/>
    <col min="19" max="19" width="9.875" style="106" customWidth="1"/>
    <col min="20" max="20" width="6.5" style="106" customWidth="1"/>
    <col min="21" max="21" width="5.625" style="106" customWidth="1"/>
    <col min="22" max="23" width="7.5" style="106" customWidth="1"/>
    <col min="24" max="24" width="8.125" style="106" customWidth="1"/>
    <col min="25" max="25" width="8.875" style="106" customWidth="1"/>
    <col min="26" max="26" width="16.75" style="106" customWidth="1"/>
    <col min="27" max="27" width="17.875" style="106" customWidth="1"/>
    <col min="28" max="29" width="15.5" style="106" customWidth="1"/>
    <col min="30" max="30" width="11.5" style="106"/>
    <col min="31" max="31" width="13.875" style="106" customWidth="1"/>
    <col min="32" max="33" width="14.25" style="530" customWidth="1"/>
    <col min="34" max="34" width="24.375" style="106" customWidth="1"/>
    <col min="35" max="36" width="11.5" style="1207" customWidth="1"/>
    <col min="37" max="37" width="24.375" style="106" customWidth="1"/>
    <col min="38" max="39" width="11.5" style="106" customWidth="1"/>
    <col min="40" max="40" width="24.375" style="106" customWidth="1"/>
    <col min="41" max="42" width="11.5" style="106" customWidth="1"/>
    <col min="43" max="43" width="24.375" style="106" customWidth="1"/>
    <col min="44" max="16384" width="11.5" style="106"/>
  </cols>
  <sheetData>
    <row r="1" spans="1:47" ht="27.75" customHeight="1" x14ac:dyDescent="0.25">
      <c r="A1" s="1665"/>
      <c r="B1" s="1713"/>
      <c r="C1" s="1713"/>
      <c r="D1" s="1713"/>
      <c r="E1" s="1713"/>
      <c r="F1" s="1714"/>
      <c r="G1" s="413"/>
      <c r="H1" s="1717" t="s">
        <v>176</v>
      </c>
      <c r="I1" s="1718"/>
      <c r="J1" s="1718"/>
      <c r="K1" s="1718"/>
      <c r="L1" s="1718"/>
      <c r="M1" s="1718"/>
      <c r="N1" s="1718"/>
      <c r="O1" s="1718"/>
      <c r="P1" s="1718"/>
      <c r="Q1" s="1718"/>
      <c r="R1" s="1718"/>
      <c r="S1" s="1718"/>
      <c r="T1" s="1718"/>
      <c r="U1" s="1718"/>
      <c r="V1" s="1718"/>
      <c r="W1" s="1718"/>
      <c r="X1" s="1718"/>
      <c r="Y1" s="1718"/>
      <c r="Z1" s="1719"/>
      <c r="AA1" s="44"/>
      <c r="AB1" s="44"/>
      <c r="AC1" s="44"/>
      <c r="AD1" s="103"/>
      <c r="AE1" s="103"/>
      <c r="AF1" s="529"/>
      <c r="AG1" s="529"/>
      <c r="AH1" s="104"/>
      <c r="AI1" s="1206"/>
      <c r="AJ1" s="1206"/>
      <c r="AK1" s="104"/>
      <c r="AL1" s="104"/>
      <c r="AM1" s="104"/>
      <c r="AN1" s="104"/>
      <c r="AO1" s="104"/>
      <c r="AP1" s="104"/>
      <c r="AQ1" s="105"/>
    </row>
    <row r="2" spans="1:47" ht="27.75" customHeight="1" x14ac:dyDescent="0.25">
      <c r="A2" s="1667"/>
      <c r="B2" s="1715"/>
      <c r="C2" s="1715"/>
      <c r="D2" s="1715"/>
      <c r="E2" s="1715"/>
      <c r="F2" s="1716"/>
      <c r="G2" s="414"/>
      <c r="H2" s="1708" t="s">
        <v>0</v>
      </c>
      <c r="I2" s="1709"/>
      <c r="J2" s="1709"/>
      <c r="K2" s="1709"/>
      <c r="L2" s="1709"/>
      <c r="M2" s="1709"/>
      <c r="N2" s="1709"/>
      <c r="O2" s="1709"/>
      <c r="P2" s="1709"/>
      <c r="Q2" s="1709"/>
      <c r="R2" s="1709"/>
      <c r="S2" s="1709"/>
      <c r="T2" s="1709"/>
      <c r="U2" s="1709"/>
      <c r="V2" s="1709"/>
      <c r="W2" s="1709"/>
      <c r="X2" s="1709"/>
      <c r="Y2" s="1709"/>
      <c r="Z2" s="1720"/>
      <c r="AA2" s="108"/>
      <c r="AB2" s="108"/>
      <c r="AC2" s="108"/>
      <c r="AD2" s="415"/>
      <c r="AE2" s="415"/>
      <c r="AQ2" s="110"/>
    </row>
    <row r="3" spans="1:47" ht="27.75" customHeight="1" x14ac:dyDescent="0.25">
      <c r="A3" s="1667"/>
      <c r="B3" s="1715"/>
      <c r="C3" s="1715"/>
      <c r="D3" s="1715"/>
      <c r="E3" s="1715"/>
      <c r="F3" s="1716"/>
      <c r="G3" s="414"/>
      <c r="H3" s="1721" t="s">
        <v>210</v>
      </c>
      <c r="I3" s="1722"/>
      <c r="J3" s="1722"/>
      <c r="K3" s="1722"/>
      <c r="L3" s="1722"/>
      <c r="M3" s="1722"/>
      <c r="N3" s="1722"/>
      <c r="O3" s="1722"/>
      <c r="P3" s="1722"/>
      <c r="Q3" s="1722"/>
      <c r="R3" s="1723">
        <v>2019</v>
      </c>
      <c r="S3" s="1723"/>
      <c r="T3" s="1724"/>
      <c r="U3" s="1724"/>
      <c r="V3" s="1724"/>
      <c r="W3" s="1724"/>
      <c r="X3" s="1724"/>
      <c r="Y3" s="1724"/>
      <c r="Z3" s="1725"/>
      <c r="AA3" s="53"/>
      <c r="AB3" s="53"/>
      <c r="AC3" s="53"/>
      <c r="AD3" s="415"/>
      <c r="AQ3" s="110"/>
    </row>
    <row r="4" spans="1:47" ht="27.75" customHeight="1" x14ac:dyDescent="0.25">
      <c r="A4" s="1692" t="s">
        <v>1</v>
      </c>
      <c r="B4" s="1693"/>
      <c r="C4" s="1693"/>
      <c r="D4" s="1693"/>
      <c r="E4" s="1693"/>
      <c r="F4" s="1694"/>
      <c r="G4" s="415"/>
      <c r="H4" s="1705" t="s">
        <v>227</v>
      </c>
      <c r="I4" s="1706"/>
      <c r="J4" s="1706"/>
      <c r="K4" s="1706"/>
      <c r="L4" s="1706"/>
      <c r="M4" s="1706"/>
      <c r="N4" s="1706"/>
      <c r="O4" s="1706"/>
      <c r="P4" s="1706"/>
      <c r="Q4" s="1706"/>
      <c r="R4" s="1706"/>
      <c r="S4" s="1706"/>
      <c r="T4" s="1706"/>
      <c r="U4" s="1706"/>
      <c r="V4" s="1706"/>
      <c r="W4" s="1706"/>
      <c r="X4" s="1706"/>
      <c r="Y4" s="1706"/>
      <c r="Z4" s="1707"/>
      <c r="AA4" s="111"/>
      <c r="AB4" s="111"/>
      <c r="AC4" s="111"/>
      <c r="AD4" s="111"/>
      <c r="AQ4" s="110"/>
    </row>
    <row r="5" spans="1:47" s="114" customFormat="1" ht="27.75" customHeight="1" x14ac:dyDescent="0.25">
      <c r="A5" s="1692" t="s">
        <v>2</v>
      </c>
      <c r="B5" s="1693"/>
      <c r="C5" s="1693"/>
      <c r="D5" s="1693"/>
      <c r="E5" s="1693"/>
      <c r="F5" s="1694"/>
      <c r="G5" s="415"/>
      <c r="H5" s="1708" t="s">
        <v>184</v>
      </c>
      <c r="I5" s="1709"/>
      <c r="J5" s="1709"/>
      <c r="K5" s="1709"/>
      <c r="L5" s="1709"/>
      <c r="M5" s="1709"/>
      <c r="N5" s="1709"/>
      <c r="O5" s="1709"/>
      <c r="P5" s="1709"/>
      <c r="Q5" s="1709"/>
      <c r="R5" s="1709"/>
      <c r="S5" s="1709"/>
      <c r="T5" s="1709"/>
      <c r="U5" s="1710"/>
      <c r="V5" s="1708" t="s">
        <v>4</v>
      </c>
      <c r="W5" s="1709"/>
      <c r="X5" s="1711" t="str">
        <f>IF(ISERROR(VLOOKUP($H$5,$F$98:$L$112,6,0))," ",VLOOKUP($H$5,$F$98:$L$112,6,0))</f>
        <v>I Direccionamiento y Control</v>
      </c>
      <c r="Y5" s="1711"/>
      <c r="Z5" s="1712"/>
      <c r="AA5" s="112"/>
      <c r="AB5" s="106"/>
      <c r="AC5" s="106"/>
      <c r="AD5" s="108"/>
      <c r="AE5" s="113"/>
      <c r="AF5" s="530"/>
      <c r="AG5" s="530"/>
      <c r="AH5" s="106"/>
      <c r="AI5" s="1265"/>
      <c r="AJ5" s="1265"/>
      <c r="AQ5" s="115"/>
    </row>
    <row r="6" spans="1:47" s="114" customFormat="1" ht="27.75" customHeight="1" x14ac:dyDescent="0.25">
      <c r="A6" s="1692" t="s">
        <v>5</v>
      </c>
      <c r="B6" s="1693"/>
      <c r="C6" s="1693"/>
      <c r="D6" s="1693"/>
      <c r="E6" s="1693"/>
      <c r="F6" s="1694"/>
      <c r="G6" s="415"/>
      <c r="H6" s="1695"/>
      <c r="I6" s="1793"/>
      <c r="J6" s="1793"/>
      <c r="K6" s="1793"/>
      <c r="L6" s="1793"/>
      <c r="M6" s="1793"/>
      <c r="N6" s="1793"/>
      <c r="O6" s="1793"/>
      <c r="P6" s="1793"/>
      <c r="Q6" s="1793"/>
      <c r="R6" s="1793"/>
      <c r="S6" s="1793"/>
      <c r="T6" s="1793"/>
      <c r="U6" s="1793"/>
      <c r="V6" s="1793"/>
      <c r="W6" s="1793"/>
      <c r="X6" s="1793"/>
      <c r="Y6" s="1793"/>
      <c r="Z6" s="1794"/>
      <c r="AA6" s="106"/>
      <c r="AB6" s="106"/>
      <c r="AC6" s="116"/>
      <c r="AD6" s="108"/>
      <c r="AE6" s="113"/>
      <c r="AF6" s="507"/>
      <c r="AG6" s="507"/>
      <c r="AH6" s="111"/>
      <c r="AI6" s="507"/>
      <c r="AJ6" s="507"/>
      <c r="AK6" s="111"/>
      <c r="AL6" s="111"/>
      <c r="AM6" s="111"/>
      <c r="AN6" s="111"/>
      <c r="AO6" s="111"/>
      <c r="AP6" s="111"/>
      <c r="AQ6" s="117"/>
      <c r="AR6" s="111"/>
      <c r="AS6" s="111"/>
      <c r="AT6" s="111"/>
      <c r="AU6" s="111"/>
    </row>
    <row r="7" spans="1:47" s="114" customFormat="1" ht="27.75" customHeight="1" thickBot="1" x14ac:dyDescent="0.3">
      <c r="A7" s="1698" t="s">
        <v>6</v>
      </c>
      <c r="B7" s="1699"/>
      <c r="C7" s="1699"/>
      <c r="D7" s="1699"/>
      <c r="E7" s="1699"/>
      <c r="F7" s="1700"/>
      <c r="G7" s="416"/>
      <c r="H7" s="1701" t="s">
        <v>239</v>
      </c>
      <c r="I7" s="1702"/>
      <c r="J7" s="1702"/>
      <c r="K7" s="1702"/>
      <c r="L7" s="1702"/>
      <c r="M7" s="1702"/>
      <c r="N7" s="1702"/>
      <c r="O7" s="1702"/>
      <c r="P7" s="1702"/>
      <c r="Q7" s="1702"/>
      <c r="R7" s="1702"/>
      <c r="S7" s="1702"/>
      <c r="T7" s="1702"/>
      <c r="U7" s="1702"/>
      <c r="V7" s="1703" t="s">
        <v>7</v>
      </c>
      <c r="W7" s="1704"/>
      <c r="X7" s="1704"/>
      <c r="Y7" s="1704"/>
      <c r="Z7" s="119">
        <f>SUM(Z11:Z24)</f>
        <v>1.5833710913748569</v>
      </c>
      <c r="AA7" s="106"/>
      <c r="AB7" s="106"/>
      <c r="AC7" s="106"/>
      <c r="AD7" s="106"/>
      <c r="AF7" s="530"/>
      <c r="AG7" s="530"/>
      <c r="AH7" s="106"/>
      <c r="AI7" s="1265"/>
      <c r="AJ7" s="1265"/>
      <c r="AQ7" s="115"/>
    </row>
    <row r="8" spans="1:47" s="114" customFormat="1" ht="21" customHeight="1" thickBot="1" x14ac:dyDescent="0.3">
      <c r="A8" s="1751" t="s">
        <v>8</v>
      </c>
      <c r="B8" s="1748" t="s">
        <v>9</v>
      </c>
      <c r="C8" s="1780" t="s">
        <v>10</v>
      </c>
      <c r="D8" s="1788" t="s">
        <v>289</v>
      </c>
      <c r="E8" s="1748" t="s">
        <v>285</v>
      </c>
      <c r="F8" s="1760" t="s">
        <v>253</v>
      </c>
      <c r="G8" s="1760" t="s">
        <v>228</v>
      </c>
      <c r="H8" s="1788" t="s">
        <v>296</v>
      </c>
      <c r="I8" s="1760" t="s">
        <v>12</v>
      </c>
      <c r="J8" s="1754" t="s">
        <v>13</v>
      </c>
      <c r="K8" s="1757" t="s">
        <v>14</v>
      </c>
      <c r="L8" s="1758"/>
      <c r="M8" s="1758"/>
      <c r="N8" s="1758"/>
      <c r="O8" s="1758"/>
      <c r="P8" s="1758"/>
      <c r="Q8" s="1758"/>
      <c r="R8" s="1758"/>
      <c r="S8" s="1758"/>
      <c r="T8" s="1758"/>
      <c r="U8" s="1758"/>
      <c r="V8" s="1758"/>
      <c r="W8" s="1758"/>
      <c r="X8" s="1758"/>
      <c r="Y8" s="1759"/>
      <c r="Z8" s="1800" t="s">
        <v>15</v>
      </c>
      <c r="AA8" s="1678" t="s">
        <v>16</v>
      </c>
      <c r="AB8" s="1803"/>
      <c r="AC8" s="1803"/>
      <c r="AD8" s="1804"/>
      <c r="AE8" s="1731" t="s">
        <v>17</v>
      </c>
      <c r="AF8" s="1730" t="s">
        <v>18</v>
      </c>
      <c r="AG8" s="1718"/>
      <c r="AH8" s="1719"/>
      <c r="AI8" s="1730" t="s">
        <v>19</v>
      </c>
      <c r="AJ8" s="1718"/>
      <c r="AK8" s="1719"/>
      <c r="AL8" s="1730" t="s">
        <v>20</v>
      </c>
      <c r="AM8" s="1718"/>
      <c r="AN8" s="1719"/>
      <c r="AO8" s="1730" t="s">
        <v>21</v>
      </c>
      <c r="AP8" s="1718"/>
      <c r="AQ8" s="1719"/>
    </row>
    <row r="9" spans="1:47" s="114" customFormat="1" ht="21" customHeight="1" x14ac:dyDescent="0.25">
      <c r="A9" s="1752"/>
      <c r="B9" s="1749"/>
      <c r="C9" s="1781"/>
      <c r="D9" s="1789"/>
      <c r="E9" s="1749"/>
      <c r="F9" s="1761"/>
      <c r="G9" s="1761"/>
      <c r="H9" s="1789"/>
      <c r="I9" s="1761"/>
      <c r="J9" s="1755"/>
      <c r="K9" s="1738" t="s">
        <v>22</v>
      </c>
      <c r="L9" s="1736"/>
      <c r="M9" s="1739"/>
      <c r="N9" s="1727" t="s">
        <v>23</v>
      </c>
      <c r="O9" s="1736"/>
      <c r="P9" s="1737"/>
      <c r="Q9" s="1738" t="s">
        <v>24</v>
      </c>
      <c r="R9" s="1736"/>
      <c r="S9" s="1739"/>
      <c r="T9" s="1727" t="s">
        <v>25</v>
      </c>
      <c r="U9" s="1736"/>
      <c r="V9" s="1737"/>
      <c r="W9" s="1738" t="s">
        <v>26</v>
      </c>
      <c r="X9" s="1736"/>
      <c r="Y9" s="1739"/>
      <c r="Z9" s="1801"/>
      <c r="AA9" s="1679" t="s">
        <v>27</v>
      </c>
      <c r="AB9" s="1798" t="s">
        <v>28</v>
      </c>
      <c r="AC9" s="1798"/>
      <c r="AD9" s="1795" t="s">
        <v>29</v>
      </c>
      <c r="AE9" s="1732"/>
      <c r="AF9" s="1726" t="s">
        <v>30</v>
      </c>
      <c r="AG9" s="1727"/>
      <c r="AH9" s="1728" t="s">
        <v>31</v>
      </c>
      <c r="AI9" s="1726" t="s">
        <v>30</v>
      </c>
      <c r="AJ9" s="1727"/>
      <c r="AK9" s="1728" t="s">
        <v>31</v>
      </c>
      <c r="AL9" s="1726" t="s">
        <v>30</v>
      </c>
      <c r="AM9" s="1727"/>
      <c r="AN9" s="1728" t="s">
        <v>31</v>
      </c>
      <c r="AO9" s="1726" t="s">
        <v>30</v>
      </c>
      <c r="AP9" s="1727"/>
      <c r="AQ9" s="1728" t="s">
        <v>31</v>
      </c>
    </row>
    <row r="10" spans="1:47" s="114" customFormat="1" ht="32.25" customHeight="1" thickBot="1" x14ac:dyDescent="0.3">
      <c r="A10" s="1783"/>
      <c r="B10" s="1784"/>
      <c r="C10" s="1781"/>
      <c r="D10" s="1789"/>
      <c r="E10" s="1750"/>
      <c r="F10" s="1762"/>
      <c r="G10" s="1762"/>
      <c r="H10" s="1789"/>
      <c r="I10" s="1762"/>
      <c r="J10" s="1799"/>
      <c r="K10" s="624" t="s">
        <v>32</v>
      </c>
      <c r="L10" s="126" t="s">
        <v>33</v>
      </c>
      <c r="M10" s="122" t="s">
        <v>34</v>
      </c>
      <c r="N10" s="324" t="s">
        <v>32</v>
      </c>
      <c r="O10" s="126" t="s">
        <v>33</v>
      </c>
      <c r="P10" s="610" t="s">
        <v>34</v>
      </c>
      <c r="Q10" s="1356" t="s">
        <v>32</v>
      </c>
      <c r="R10" s="126" t="s">
        <v>33</v>
      </c>
      <c r="S10" s="605" t="s">
        <v>34</v>
      </c>
      <c r="T10" s="324" t="s">
        <v>32</v>
      </c>
      <c r="U10" s="126" t="s">
        <v>33</v>
      </c>
      <c r="V10" s="610" t="s">
        <v>34</v>
      </c>
      <c r="W10" s="1356" t="s">
        <v>35</v>
      </c>
      <c r="X10" s="126" t="s">
        <v>36</v>
      </c>
      <c r="Y10" s="224" t="s">
        <v>34</v>
      </c>
      <c r="Z10" s="1802"/>
      <c r="AA10" s="1797"/>
      <c r="AB10" s="486" t="s">
        <v>37</v>
      </c>
      <c r="AC10" s="486" t="s">
        <v>38</v>
      </c>
      <c r="AD10" s="1796"/>
      <c r="AE10" s="1733"/>
      <c r="AF10" s="624" t="s">
        <v>37</v>
      </c>
      <c r="AG10" s="126" t="s">
        <v>38</v>
      </c>
      <c r="AH10" s="1728"/>
      <c r="AI10" s="1210" t="s">
        <v>37</v>
      </c>
      <c r="AJ10" s="486" t="s">
        <v>38</v>
      </c>
      <c r="AK10" s="1729"/>
      <c r="AL10" s="1358" t="s">
        <v>37</v>
      </c>
      <c r="AM10" s="486" t="s">
        <v>38</v>
      </c>
      <c r="AN10" s="1729"/>
      <c r="AO10" s="421" t="s">
        <v>37</v>
      </c>
      <c r="AP10" s="428" t="s">
        <v>38</v>
      </c>
      <c r="AQ10" s="1729"/>
    </row>
    <row r="11" spans="1:47" s="114" customFormat="1" ht="58.5" customHeight="1" x14ac:dyDescent="0.25">
      <c r="A11" s="1785" t="s">
        <v>594</v>
      </c>
      <c r="B11" s="1790">
        <v>17</v>
      </c>
      <c r="C11" s="1675" t="s">
        <v>735</v>
      </c>
      <c r="D11" s="1774">
        <v>0.25</v>
      </c>
      <c r="E11" s="201" t="s">
        <v>580</v>
      </c>
      <c r="F11" s="412" t="s">
        <v>786</v>
      </c>
      <c r="G11" s="331">
        <v>6829</v>
      </c>
      <c r="H11" s="424">
        <v>0.2</v>
      </c>
      <c r="I11" s="424" t="s">
        <v>42</v>
      </c>
      <c r="J11" s="213" t="s">
        <v>40</v>
      </c>
      <c r="K11" s="538">
        <v>50</v>
      </c>
      <c r="L11" s="528">
        <f t="shared" ref="L11:L28" si="0">IF(I11="Cantidad",AF11,IF(ISERROR(AF11/AG11),0,AF11/AG11))</f>
        <v>0</v>
      </c>
      <c r="M11" s="1273">
        <f t="shared" ref="M11:M28" si="1">IF(ISERROR(L11/K11),0,(L11/K11))</f>
        <v>0</v>
      </c>
      <c r="N11" s="1200">
        <v>250</v>
      </c>
      <c r="O11" s="1212">
        <f t="shared" ref="O11:O24" si="2">IF(I11="Cantidad",AI11,IF(ISERROR(AI11/AJ11),0,AI11/AJ11))</f>
        <v>517</v>
      </c>
      <c r="P11" s="606">
        <f t="shared" ref="P11:P28" si="3">IF(ISERROR(O11/N11),0,(O11/N11))</f>
        <v>2.0680000000000001</v>
      </c>
      <c r="Q11" s="1353">
        <v>2164</v>
      </c>
      <c r="R11" s="1360">
        <f t="shared" ref="R11:R28" si="4">IF(I11="Cantidad",AL11,IF(ISERROR(AL11/AM11),0,AL11/AM11))</f>
        <v>2164</v>
      </c>
      <c r="S11" s="606">
        <f t="shared" ref="S11:S28" si="5">IF(ISERROR(R11/Q11),0,(R11/Q11))</f>
        <v>1</v>
      </c>
      <c r="T11" s="1353">
        <v>219</v>
      </c>
      <c r="U11" s="1360">
        <f>IF(I11="Cantidad",AO11,IF(ISERROR(AO11/AP11),0,AO11/AP11))</f>
        <v>0</v>
      </c>
      <c r="V11" s="128">
        <f t="shared" ref="V11:V28" si="6">IF(ISERROR(U11/T11),0,(U11/T11))</f>
        <v>0</v>
      </c>
      <c r="W11" s="1370">
        <f t="shared" ref="W11:W28" si="7">IF(J11="SUMA",(K11+N11+Q11+T11),(K11))</f>
        <v>2683</v>
      </c>
      <c r="X11" s="1360">
        <f t="shared" ref="X11:X28" si="8">IF(ISERROR(AVERAGE(L11,O11,R11,U11)),0,IF(J11="Suma",(L11+O11+R11+U11),AVERAGE(L11,O11,R11,U11)))</f>
        <v>2681</v>
      </c>
      <c r="Y11" s="128">
        <f t="shared" ref="Y11:Y28" si="9">IF(ISERROR(X11/W11),0,(X11/W11))</f>
        <v>0.9992545657845695</v>
      </c>
      <c r="Z11" s="764">
        <f t="shared" ref="Z11:Z28" si="10">+Y11*H11</f>
        <v>0.19985091315691392</v>
      </c>
      <c r="AA11" s="1368" t="s">
        <v>363</v>
      </c>
      <c r="AB11" s="423" t="s">
        <v>343</v>
      </c>
      <c r="AC11" s="423" t="s">
        <v>495</v>
      </c>
      <c r="AD11" s="202" t="s">
        <v>43</v>
      </c>
      <c r="AE11" s="669" t="s">
        <v>404</v>
      </c>
      <c r="AF11" s="527">
        <v>0</v>
      </c>
      <c r="AG11" s="528">
        <v>50</v>
      </c>
      <c r="AH11" s="134"/>
      <c r="AI11" s="184">
        <v>517</v>
      </c>
      <c r="AJ11" s="185">
        <v>250</v>
      </c>
      <c r="AK11" s="186"/>
      <c r="AL11" s="1363">
        <v>2164</v>
      </c>
      <c r="AM11" s="1366">
        <v>2164</v>
      </c>
      <c r="AN11" s="138"/>
      <c r="AO11" s="184"/>
      <c r="AP11" s="185"/>
      <c r="AQ11" s="187"/>
    </row>
    <row r="12" spans="1:47" s="114" customFormat="1" ht="56.25" customHeight="1" x14ac:dyDescent="0.25">
      <c r="A12" s="1786"/>
      <c r="B12" s="1791"/>
      <c r="C12" s="1676"/>
      <c r="D12" s="1775"/>
      <c r="E12" s="203" t="s">
        <v>581</v>
      </c>
      <c r="F12" s="422" t="s">
        <v>787</v>
      </c>
      <c r="G12" s="332">
        <v>1493</v>
      </c>
      <c r="H12" s="425">
        <v>0.2</v>
      </c>
      <c r="I12" s="425" t="s">
        <v>42</v>
      </c>
      <c r="J12" s="214" t="s">
        <v>40</v>
      </c>
      <c r="K12" s="539">
        <v>50</v>
      </c>
      <c r="L12" s="537">
        <f t="shared" si="0"/>
        <v>0</v>
      </c>
      <c r="M12" s="1274">
        <f t="shared" si="1"/>
        <v>0</v>
      </c>
      <c r="N12" s="1201">
        <v>50</v>
      </c>
      <c r="O12" s="1211">
        <f t="shared" si="2"/>
        <v>171</v>
      </c>
      <c r="P12" s="607">
        <f t="shared" si="3"/>
        <v>3.42</v>
      </c>
      <c r="Q12" s="1354">
        <v>649</v>
      </c>
      <c r="R12" s="1359">
        <f t="shared" si="4"/>
        <v>649</v>
      </c>
      <c r="S12" s="607">
        <f t="shared" si="5"/>
        <v>1</v>
      </c>
      <c r="T12" s="1354">
        <v>130</v>
      </c>
      <c r="U12" s="1359">
        <f t="shared" ref="U12:U28" si="11">IF(I12="Cantidad",AO12,IF(ISERROR(AO12/AP12),0,AO12/AP12))</f>
        <v>0</v>
      </c>
      <c r="V12" s="190">
        <f t="shared" si="6"/>
        <v>0</v>
      </c>
      <c r="W12" s="1371">
        <f t="shared" si="7"/>
        <v>879</v>
      </c>
      <c r="X12" s="1359">
        <f t="shared" si="8"/>
        <v>820</v>
      </c>
      <c r="Y12" s="190">
        <f t="shared" si="9"/>
        <v>0.93287827076222984</v>
      </c>
      <c r="Z12" s="768">
        <f t="shared" si="10"/>
        <v>0.18657565415244598</v>
      </c>
      <c r="AA12" s="1369" t="s">
        <v>364</v>
      </c>
      <c r="AB12" s="423" t="s">
        <v>343</v>
      </c>
      <c r="AC12" s="423" t="s">
        <v>495</v>
      </c>
      <c r="AD12" s="193" t="s">
        <v>43</v>
      </c>
      <c r="AE12" s="670" t="s">
        <v>405</v>
      </c>
      <c r="AF12" s="535">
        <v>0</v>
      </c>
      <c r="AG12" s="537">
        <v>50</v>
      </c>
      <c r="AH12" s="195"/>
      <c r="AI12" s="1216">
        <v>171</v>
      </c>
      <c r="AJ12" s="1213">
        <v>50</v>
      </c>
      <c r="AK12" s="197"/>
      <c r="AL12" s="196">
        <v>649</v>
      </c>
      <c r="AM12" s="1365">
        <v>549</v>
      </c>
      <c r="AN12" s="198"/>
      <c r="AO12" s="196"/>
      <c r="AP12" s="156"/>
      <c r="AQ12" s="198"/>
    </row>
    <row r="13" spans="1:47" s="114" customFormat="1" ht="51" customHeight="1" x14ac:dyDescent="0.25">
      <c r="A13" s="1786"/>
      <c r="B13" s="1791"/>
      <c r="C13" s="1676"/>
      <c r="D13" s="1775"/>
      <c r="E13" s="203" t="s">
        <v>582</v>
      </c>
      <c r="F13" s="422" t="s">
        <v>788</v>
      </c>
      <c r="G13" s="332">
        <v>3788</v>
      </c>
      <c r="H13" s="425">
        <v>0.2</v>
      </c>
      <c r="I13" s="425" t="s">
        <v>42</v>
      </c>
      <c r="J13" s="214" t="s">
        <v>40</v>
      </c>
      <c r="K13" s="539">
        <v>750</v>
      </c>
      <c r="L13" s="537">
        <f t="shared" si="0"/>
        <v>757</v>
      </c>
      <c r="M13" s="607">
        <f t="shared" si="1"/>
        <v>1.0093333333333334</v>
      </c>
      <c r="N13" s="1201">
        <v>750</v>
      </c>
      <c r="O13" s="1211">
        <f t="shared" si="2"/>
        <v>778</v>
      </c>
      <c r="P13" s="607">
        <f t="shared" si="3"/>
        <v>1.0373333333333334</v>
      </c>
      <c r="Q13" s="1354">
        <v>857</v>
      </c>
      <c r="R13" s="1359">
        <f t="shared" si="4"/>
        <v>857</v>
      </c>
      <c r="S13" s="607">
        <f t="shared" si="5"/>
        <v>1</v>
      </c>
      <c r="T13" s="1354">
        <v>468</v>
      </c>
      <c r="U13" s="1359">
        <f t="shared" si="11"/>
        <v>0</v>
      </c>
      <c r="V13" s="190">
        <f t="shared" si="6"/>
        <v>0</v>
      </c>
      <c r="W13" s="1371">
        <f t="shared" si="7"/>
        <v>2825</v>
      </c>
      <c r="X13" s="1359">
        <f t="shared" si="8"/>
        <v>2392</v>
      </c>
      <c r="Y13" s="190">
        <f t="shared" si="9"/>
        <v>0.84672566371681413</v>
      </c>
      <c r="Z13" s="768">
        <f t="shared" si="10"/>
        <v>0.16934513274336283</v>
      </c>
      <c r="AA13" s="1369" t="s">
        <v>365</v>
      </c>
      <c r="AB13" s="423" t="s">
        <v>343</v>
      </c>
      <c r="AC13" s="423" t="s">
        <v>495</v>
      </c>
      <c r="AD13" s="193" t="s">
        <v>43</v>
      </c>
      <c r="AE13" s="670" t="s">
        <v>405</v>
      </c>
      <c r="AF13" s="535">
        <v>757</v>
      </c>
      <c r="AG13" s="537">
        <v>750</v>
      </c>
      <c r="AH13" s="195"/>
      <c r="AI13" s="1216">
        <v>778</v>
      </c>
      <c r="AJ13" s="1213">
        <v>750</v>
      </c>
      <c r="AK13" s="200"/>
      <c r="AL13" s="196">
        <v>857</v>
      </c>
      <c r="AM13" s="1365">
        <v>857</v>
      </c>
      <c r="AN13" s="198"/>
      <c r="AO13" s="196"/>
      <c r="AP13" s="156"/>
      <c r="AQ13" s="198"/>
    </row>
    <row r="14" spans="1:47" s="114" customFormat="1" ht="55.5" customHeight="1" x14ac:dyDescent="0.25">
      <c r="A14" s="1786"/>
      <c r="B14" s="1791"/>
      <c r="C14" s="1676"/>
      <c r="D14" s="1775"/>
      <c r="E14" s="203" t="s">
        <v>583</v>
      </c>
      <c r="F14" s="422" t="s">
        <v>789</v>
      </c>
      <c r="G14" s="332">
        <v>10400</v>
      </c>
      <c r="H14" s="425">
        <v>0.2</v>
      </c>
      <c r="I14" s="425" t="s">
        <v>42</v>
      </c>
      <c r="J14" s="214" t="s">
        <v>40</v>
      </c>
      <c r="K14" s="539">
        <v>3000</v>
      </c>
      <c r="L14" s="537">
        <f t="shared" si="0"/>
        <v>2967</v>
      </c>
      <c r="M14" s="607">
        <f t="shared" si="1"/>
        <v>0.98899999999999999</v>
      </c>
      <c r="N14" s="1201">
        <v>3000</v>
      </c>
      <c r="O14" s="1211">
        <f t="shared" si="2"/>
        <v>6029</v>
      </c>
      <c r="P14" s="607">
        <f t="shared" si="3"/>
        <v>2.0096666666666665</v>
      </c>
      <c r="Q14" s="1354">
        <v>3099</v>
      </c>
      <c r="R14" s="1359">
        <f t="shared" si="4"/>
        <v>3099</v>
      </c>
      <c r="S14" s="607">
        <f t="shared" si="5"/>
        <v>1</v>
      </c>
      <c r="T14" s="1354">
        <v>2195</v>
      </c>
      <c r="U14" s="1359">
        <f t="shared" si="11"/>
        <v>0</v>
      </c>
      <c r="V14" s="190">
        <f t="shared" si="6"/>
        <v>0</v>
      </c>
      <c r="W14" s="1371">
        <f t="shared" si="7"/>
        <v>11294</v>
      </c>
      <c r="X14" s="1359">
        <f t="shared" si="8"/>
        <v>12095</v>
      </c>
      <c r="Y14" s="190">
        <f t="shared" si="9"/>
        <v>1.0709226137772268</v>
      </c>
      <c r="Z14" s="768">
        <f t="shared" si="10"/>
        <v>0.21418452275544536</v>
      </c>
      <c r="AA14" s="1369" t="s">
        <v>366</v>
      </c>
      <c r="AB14" s="423" t="s">
        <v>343</v>
      </c>
      <c r="AC14" s="423" t="s">
        <v>495</v>
      </c>
      <c r="AD14" s="148" t="s">
        <v>43</v>
      </c>
      <c r="AE14" s="671" t="s">
        <v>406</v>
      </c>
      <c r="AF14" s="535">
        <v>2967</v>
      </c>
      <c r="AG14" s="537">
        <v>3000</v>
      </c>
      <c r="AH14" s="150"/>
      <c r="AI14" s="1268">
        <v>6029</v>
      </c>
      <c r="AJ14" s="1214">
        <v>3000</v>
      </c>
      <c r="AK14" s="204"/>
      <c r="AL14" s="151">
        <v>3099</v>
      </c>
      <c r="AM14" s="1365">
        <v>3099</v>
      </c>
      <c r="AN14" s="154"/>
      <c r="AO14" s="151"/>
      <c r="AP14" s="152"/>
      <c r="AQ14" s="154"/>
    </row>
    <row r="15" spans="1:47" s="114" customFormat="1" ht="81" customHeight="1" thickBot="1" x14ac:dyDescent="0.3">
      <c r="A15" s="1786"/>
      <c r="B15" s="1792"/>
      <c r="C15" s="1677"/>
      <c r="D15" s="1776"/>
      <c r="E15" s="205" t="s">
        <v>766</v>
      </c>
      <c r="F15" s="428" t="s">
        <v>306</v>
      </c>
      <c r="G15" s="325">
        <v>0</v>
      </c>
      <c r="H15" s="429">
        <v>0.2</v>
      </c>
      <c r="I15" s="429" t="s">
        <v>42</v>
      </c>
      <c r="J15" s="217" t="s">
        <v>40</v>
      </c>
      <c r="K15" s="143">
        <v>0</v>
      </c>
      <c r="L15" s="126">
        <f t="shared" si="0"/>
        <v>0</v>
      </c>
      <c r="M15" s="612">
        <f t="shared" si="1"/>
        <v>0</v>
      </c>
      <c r="N15" s="143">
        <v>100</v>
      </c>
      <c r="O15" s="126">
        <f t="shared" si="2"/>
        <v>100</v>
      </c>
      <c r="P15" s="612">
        <f t="shared" si="3"/>
        <v>1</v>
      </c>
      <c r="Q15" s="143">
        <v>10</v>
      </c>
      <c r="R15" s="126">
        <f t="shared" si="4"/>
        <v>10</v>
      </c>
      <c r="S15" s="612">
        <f t="shared" si="5"/>
        <v>1</v>
      </c>
      <c r="T15" s="143">
        <v>900</v>
      </c>
      <c r="U15" s="126">
        <f t="shared" si="11"/>
        <v>0</v>
      </c>
      <c r="V15" s="144">
        <f t="shared" si="6"/>
        <v>0</v>
      </c>
      <c r="W15" s="1372">
        <f t="shared" si="7"/>
        <v>1010</v>
      </c>
      <c r="X15" s="126">
        <f t="shared" si="8"/>
        <v>110</v>
      </c>
      <c r="Y15" s="144">
        <f t="shared" si="9"/>
        <v>0.10891089108910891</v>
      </c>
      <c r="Z15" s="1376">
        <f t="shared" si="10"/>
        <v>2.1782178217821784E-2</v>
      </c>
      <c r="AA15" s="1369" t="s">
        <v>367</v>
      </c>
      <c r="AB15" s="419" t="s">
        <v>496</v>
      </c>
      <c r="AC15" s="423" t="s">
        <v>497</v>
      </c>
      <c r="AD15" s="162" t="s">
        <v>43</v>
      </c>
      <c r="AE15" s="672" t="s">
        <v>407</v>
      </c>
      <c r="AF15" s="624">
        <v>0</v>
      </c>
      <c r="AG15" s="126">
        <v>0</v>
      </c>
      <c r="AH15" s="150"/>
      <c r="AI15" s="1217">
        <v>100</v>
      </c>
      <c r="AJ15" s="1269">
        <v>100</v>
      </c>
      <c r="AK15" s="206"/>
      <c r="AL15" s="165">
        <v>10</v>
      </c>
      <c r="AM15" s="1367">
        <v>10</v>
      </c>
      <c r="AN15" s="168"/>
      <c r="AO15" s="165"/>
      <c r="AP15" s="166"/>
      <c r="AQ15" s="168"/>
    </row>
    <row r="16" spans="1:47" s="114" customFormat="1" ht="78.75" x14ac:dyDescent="0.25">
      <c r="A16" s="1786"/>
      <c r="B16" s="1790">
        <v>18</v>
      </c>
      <c r="C16" s="1690" t="s">
        <v>312</v>
      </c>
      <c r="D16" s="1777">
        <v>0.25</v>
      </c>
      <c r="E16" s="207" t="s">
        <v>584</v>
      </c>
      <c r="F16" s="823" t="s">
        <v>309</v>
      </c>
      <c r="G16" s="411">
        <v>12</v>
      </c>
      <c r="H16" s="427">
        <v>0.1</v>
      </c>
      <c r="I16" s="426" t="s">
        <v>42</v>
      </c>
      <c r="J16" s="677" t="s">
        <v>40</v>
      </c>
      <c r="K16" s="538">
        <v>2</v>
      </c>
      <c r="L16" s="508">
        <f t="shared" si="0"/>
        <v>2</v>
      </c>
      <c r="M16" s="606">
        <f t="shared" si="1"/>
        <v>1</v>
      </c>
      <c r="N16" s="1200">
        <v>1</v>
      </c>
      <c r="O16" s="1212">
        <f t="shared" si="2"/>
        <v>0</v>
      </c>
      <c r="P16" s="606">
        <f t="shared" si="3"/>
        <v>0</v>
      </c>
      <c r="Q16" s="1353">
        <v>2</v>
      </c>
      <c r="R16" s="1360">
        <f t="shared" si="4"/>
        <v>1</v>
      </c>
      <c r="S16" s="606">
        <f t="shared" si="5"/>
        <v>0.5</v>
      </c>
      <c r="T16" s="1353">
        <v>3</v>
      </c>
      <c r="U16" s="1360">
        <f t="shared" si="11"/>
        <v>0</v>
      </c>
      <c r="V16" s="606">
        <f t="shared" si="6"/>
        <v>0</v>
      </c>
      <c r="W16" s="129">
        <f t="shared" si="7"/>
        <v>8</v>
      </c>
      <c r="X16" s="1360">
        <f t="shared" si="8"/>
        <v>3</v>
      </c>
      <c r="Y16" s="606">
        <f t="shared" si="9"/>
        <v>0.375</v>
      </c>
      <c r="Z16" s="764">
        <f t="shared" si="10"/>
        <v>3.7500000000000006E-2</v>
      </c>
      <c r="AA16" s="1374" t="s">
        <v>344</v>
      </c>
      <c r="AB16" s="315" t="s">
        <v>498</v>
      </c>
      <c r="AC16" s="315" t="s">
        <v>499</v>
      </c>
      <c r="AD16" s="219" t="s">
        <v>43</v>
      </c>
      <c r="AE16" s="675" t="s">
        <v>404</v>
      </c>
      <c r="AF16" s="527">
        <v>2</v>
      </c>
      <c r="AG16" s="528">
        <v>2</v>
      </c>
      <c r="AH16" s="105"/>
      <c r="AI16" s="1266">
        <v>0</v>
      </c>
      <c r="AJ16" s="1267">
        <v>1</v>
      </c>
      <c r="AK16" s="221"/>
      <c r="AL16" s="434">
        <v>1</v>
      </c>
      <c r="AM16" s="1366">
        <v>2</v>
      </c>
      <c r="AN16" s="222"/>
      <c r="AO16" s="434"/>
      <c r="AP16" s="435"/>
      <c r="AQ16" s="222"/>
    </row>
    <row r="17" spans="1:43" s="114" customFormat="1" ht="66" customHeight="1" x14ac:dyDescent="0.25">
      <c r="A17" s="1786"/>
      <c r="B17" s="1791"/>
      <c r="C17" s="1690"/>
      <c r="D17" s="1777"/>
      <c r="E17" s="209" t="s">
        <v>637</v>
      </c>
      <c r="F17" s="823" t="s">
        <v>308</v>
      </c>
      <c r="G17" s="422">
        <v>12</v>
      </c>
      <c r="H17" s="425">
        <v>0.1</v>
      </c>
      <c r="I17" s="210" t="s">
        <v>42</v>
      </c>
      <c r="J17" s="678" t="s">
        <v>106</v>
      </c>
      <c r="K17" s="539">
        <v>20</v>
      </c>
      <c r="L17" s="126">
        <f t="shared" si="0"/>
        <v>14</v>
      </c>
      <c r="M17" s="607">
        <f t="shared" si="1"/>
        <v>0.7</v>
      </c>
      <c r="N17" s="1201">
        <v>20</v>
      </c>
      <c r="O17" s="1211">
        <f t="shared" si="2"/>
        <v>17</v>
      </c>
      <c r="P17" s="607">
        <f t="shared" si="3"/>
        <v>0.85</v>
      </c>
      <c r="Q17" s="1354">
        <v>20</v>
      </c>
      <c r="R17" s="1359">
        <f t="shared" si="4"/>
        <v>20</v>
      </c>
      <c r="S17" s="607">
        <f t="shared" si="5"/>
        <v>1</v>
      </c>
      <c r="T17" s="1354">
        <v>20</v>
      </c>
      <c r="U17" s="1359">
        <f t="shared" si="11"/>
        <v>0</v>
      </c>
      <c r="V17" s="607">
        <f t="shared" si="6"/>
        <v>0</v>
      </c>
      <c r="W17" s="199">
        <f t="shared" si="7"/>
        <v>20</v>
      </c>
      <c r="X17" s="1359">
        <f t="shared" si="8"/>
        <v>12.75</v>
      </c>
      <c r="Y17" s="607">
        <f t="shared" si="9"/>
        <v>0.63749999999999996</v>
      </c>
      <c r="Z17" s="768">
        <f t="shared" si="10"/>
        <v>6.3750000000000001E-2</v>
      </c>
      <c r="AA17" s="767" t="s">
        <v>500</v>
      </c>
      <c r="AB17" s="420" t="s">
        <v>501</v>
      </c>
      <c r="AC17" s="420" t="s">
        <v>502</v>
      </c>
      <c r="AD17" s="148" t="s">
        <v>43</v>
      </c>
      <c r="AE17" s="671" t="s">
        <v>404</v>
      </c>
      <c r="AF17" s="535">
        <v>14</v>
      </c>
      <c r="AG17" s="537">
        <v>20</v>
      </c>
      <c r="AH17" s="676"/>
      <c r="AI17" s="1268">
        <v>17</v>
      </c>
      <c r="AJ17" s="1214">
        <v>20</v>
      </c>
      <c r="AK17" s="204"/>
      <c r="AL17" s="151">
        <v>20</v>
      </c>
      <c r="AM17" s="1365">
        <v>20</v>
      </c>
      <c r="AN17" s="154"/>
      <c r="AO17" s="151"/>
      <c r="AP17" s="152"/>
      <c r="AQ17" s="154"/>
    </row>
    <row r="18" spans="1:43" s="114" customFormat="1" ht="66" customHeight="1" x14ac:dyDescent="0.25">
      <c r="A18" s="1786"/>
      <c r="B18" s="1791"/>
      <c r="C18" s="1690"/>
      <c r="D18" s="1777"/>
      <c r="E18" s="207" t="s">
        <v>638</v>
      </c>
      <c r="F18" s="823" t="s">
        <v>746</v>
      </c>
      <c r="G18" s="829">
        <v>0</v>
      </c>
      <c r="H18" s="819">
        <v>0.1</v>
      </c>
      <c r="I18" s="816" t="s">
        <v>42</v>
      </c>
      <c r="J18" s="678" t="s">
        <v>40</v>
      </c>
      <c r="K18" s="827">
        <v>40</v>
      </c>
      <c r="L18" s="126">
        <f t="shared" si="0"/>
        <v>0</v>
      </c>
      <c r="M18" s="607">
        <f t="shared" si="1"/>
        <v>0</v>
      </c>
      <c r="N18" s="1201">
        <v>40</v>
      </c>
      <c r="O18" s="1211">
        <f t="shared" si="2"/>
        <v>10</v>
      </c>
      <c r="P18" s="607">
        <f t="shared" ref="P18" si="12">IF(ISERROR(O18/N18),0,(O18/N18))</f>
        <v>0.25</v>
      </c>
      <c r="Q18" s="1354">
        <v>20</v>
      </c>
      <c r="R18" s="1359">
        <f t="shared" ref="R18" si="13">IF(I18="Cantidad",AL18,IF(ISERROR(AL18/AM18),0,AL18/AM18))</f>
        <v>32</v>
      </c>
      <c r="S18" s="607">
        <f t="shared" ref="S18" si="14">IF(ISERROR(R18/Q18),0,(R18/Q18))</f>
        <v>1.6</v>
      </c>
      <c r="T18" s="1354">
        <v>0</v>
      </c>
      <c r="U18" s="1359">
        <f t="shared" ref="U18" si="15">IF(I18="Cantidad",AO18,IF(ISERROR(AO18/AP18),0,AO18/AP18))</f>
        <v>0</v>
      </c>
      <c r="V18" s="607">
        <f t="shared" ref="V18" si="16">IF(ISERROR(U18/T18),0,(U18/T18))</f>
        <v>0</v>
      </c>
      <c r="W18" s="199">
        <f t="shared" si="7"/>
        <v>100</v>
      </c>
      <c r="X18" s="1359">
        <f t="shared" ref="X18" si="17">IF(ISERROR(AVERAGE(L18,O18,R18,U18)),0,IF(J18="Suma",(L18+O18+R18+U18),AVERAGE(L18,O18,R18,U18)))</f>
        <v>42</v>
      </c>
      <c r="Y18" s="607">
        <f t="shared" ref="Y18" si="18">IF(ISERROR(X18/W18),0,(X18/W18))</f>
        <v>0.42</v>
      </c>
      <c r="Z18" s="768">
        <f t="shared" si="10"/>
        <v>4.2000000000000003E-2</v>
      </c>
      <c r="AA18" s="767" t="s">
        <v>749</v>
      </c>
      <c r="AB18" s="812" t="s">
        <v>747</v>
      </c>
      <c r="AC18" s="812" t="s">
        <v>748</v>
      </c>
      <c r="AD18" s="148" t="s">
        <v>43</v>
      </c>
      <c r="AE18" s="671" t="s">
        <v>404</v>
      </c>
      <c r="AF18" s="809">
        <v>0</v>
      </c>
      <c r="AG18" s="829">
        <v>40</v>
      </c>
      <c r="AH18" s="676"/>
      <c r="AI18" s="1268">
        <v>10</v>
      </c>
      <c r="AJ18" s="1214">
        <v>40</v>
      </c>
      <c r="AK18" s="204"/>
      <c r="AL18" s="151">
        <v>32</v>
      </c>
      <c r="AM18" s="1365">
        <v>20</v>
      </c>
      <c r="AN18" s="154"/>
      <c r="AO18" s="151"/>
      <c r="AP18" s="152"/>
      <c r="AQ18" s="154"/>
    </row>
    <row r="19" spans="1:43" s="114" customFormat="1" ht="51" customHeight="1" x14ac:dyDescent="0.25">
      <c r="A19" s="1786"/>
      <c r="B19" s="1791"/>
      <c r="C19" s="1690"/>
      <c r="D19" s="1777"/>
      <c r="E19" s="209" t="s">
        <v>639</v>
      </c>
      <c r="F19" s="823" t="s">
        <v>503</v>
      </c>
      <c r="G19" s="422">
        <v>411</v>
      </c>
      <c r="H19" s="425">
        <v>0.15</v>
      </c>
      <c r="I19" s="210" t="s">
        <v>42</v>
      </c>
      <c r="J19" s="215" t="s">
        <v>40</v>
      </c>
      <c r="K19" s="539">
        <v>250</v>
      </c>
      <c r="L19" s="126">
        <f t="shared" si="0"/>
        <v>252</v>
      </c>
      <c r="M19" s="607">
        <f t="shared" si="1"/>
        <v>1.008</v>
      </c>
      <c r="N19" s="1201">
        <v>300</v>
      </c>
      <c r="O19" s="1211">
        <f t="shared" si="2"/>
        <v>252</v>
      </c>
      <c r="P19" s="607">
        <f t="shared" si="3"/>
        <v>0.84</v>
      </c>
      <c r="Q19" s="1354">
        <v>550</v>
      </c>
      <c r="R19" s="1359">
        <f t="shared" si="4"/>
        <v>87</v>
      </c>
      <c r="S19" s="607">
        <f t="shared" si="5"/>
        <v>0.15818181818181817</v>
      </c>
      <c r="T19" s="1354">
        <v>400</v>
      </c>
      <c r="U19" s="1359">
        <f t="shared" si="11"/>
        <v>0</v>
      </c>
      <c r="V19" s="607">
        <f t="shared" si="6"/>
        <v>0</v>
      </c>
      <c r="W19" s="199">
        <f t="shared" si="7"/>
        <v>1500</v>
      </c>
      <c r="X19" s="1359">
        <f t="shared" si="8"/>
        <v>591</v>
      </c>
      <c r="Y19" s="607">
        <f t="shared" si="9"/>
        <v>0.39400000000000002</v>
      </c>
      <c r="Z19" s="768">
        <f t="shared" si="10"/>
        <v>5.91E-2</v>
      </c>
      <c r="AA19" s="767" t="s">
        <v>403</v>
      </c>
      <c r="AB19" s="420" t="s">
        <v>504</v>
      </c>
      <c r="AC19" s="420" t="s">
        <v>505</v>
      </c>
      <c r="AD19" s="148" t="s">
        <v>43</v>
      </c>
      <c r="AE19" s="671" t="s">
        <v>408</v>
      </c>
      <c r="AF19" s="535">
        <v>252</v>
      </c>
      <c r="AG19" s="537">
        <v>250</v>
      </c>
      <c r="AH19" s="676"/>
      <c r="AI19" s="1268">
        <v>252</v>
      </c>
      <c r="AJ19" s="1214">
        <v>300</v>
      </c>
      <c r="AK19" s="204"/>
      <c r="AL19" s="151">
        <v>87</v>
      </c>
      <c r="AM19" s="1365">
        <v>550</v>
      </c>
      <c r="AN19" s="154"/>
      <c r="AO19" s="151"/>
      <c r="AP19" s="152"/>
      <c r="AQ19" s="154"/>
    </row>
    <row r="20" spans="1:43" s="114" customFormat="1" ht="58.5" customHeight="1" x14ac:dyDescent="0.25">
      <c r="A20" s="1786"/>
      <c r="B20" s="1791"/>
      <c r="C20" s="1690"/>
      <c r="D20" s="1777"/>
      <c r="E20" s="207" t="s">
        <v>640</v>
      </c>
      <c r="F20" s="823" t="s">
        <v>700</v>
      </c>
      <c r="G20" s="422">
        <v>54</v>
      </c>
      <c r="H20" s="425">
        <v>0.1</v>
      </c>
      <c r="I20" s="210" t="s">
        <v>42</v>
      </c>
      <c r="J20" s="215" t="s">
        <v>40</v>
      </c>
      <c r="K20" s="539">
        <v>45</v>
      </c>
      <c r="L20" s="126">
        <f t="shared" si="0"/>
        <v>44</v>
      </c>
      <c r="M20" s="607">
        <f t="shared" si="1"/>
        <v>0.97777777777777775</v>
      </c>
      <c r="N20" s="1201">
        <v>15</v>
      </c>
      <c r="O20" s="1211">
        <f t="shared" si="2"/>
        <v>27</v>
      </c>
      <c r="P20" s="607">
        <f t="shared" si="3"/>
        <v>1.8</v>
      </c>
      <c r="Q20" s="1354">
        <v>10</v>
      </c>
      <c r="R20" s="1359">
        <f t="shared" si="4"/>
        <v>66</v>
      </c>
      <c r="S20" s="607">
        <f t="shared" si="5"/>
        <v>6.6</v>
      </c>
      <c r="T20" s="1354">
        <v>10</v>
      </c>
      <c r="U20" s="1359">
        <f t="shared" si="11"/>
        <v>0</v>
      </c>
      <c r="V20" s="607">
        <f t="shared" si="6"/>
        <v>0</v>
      </c>
      <c r="W20" s="199">
        <f t="shared" si="7"/>
        <v>80</v>
      </c>
      <c r="X20" s="1359">
        <f t="shared" si="8"/>
        <v>137</v>
      </c>
      <c r="Y20" s="607">
        <f t="shared" si="9"/>
        <v>1.7124999999999999</v>
      </c>
      <c r="Z20" s="768">
        <f t="shared" si="10"/>
        <v>0.17125000000000001</v>
      </c>
      <c r="AA20" s="767" t="s">
        <v>368</v>
      </c>
      <c r="AB20" s="420" t="s">
        <v>506</v>
      </c>
      <c r="AC20" s="420" t="s">
        <v>507</v>
      </c>
      <c r="AD20" s="148" t="s">
        <v>43</v>
      </c>
      <c r="AE20" s="671" t="s">
        <v>408</v>
      </c>
      <c r="AF20" s="535">
        <v>44</v>
      </c>
      <c r="AG20" s="537">
        <v>45</v>
      </c>
      <c r="AH20" s="676"/>
      <c r="AI20" s="1268">
        <v>27</v>
      </c>
      <c r="AJ20" s="1214">
        <v>15</v>
      </c>
      <c r="AK20" s="204"/>
      <c r="AL20" s="151">
        <v>66</v>
      </c>
      <c r="AM20" s="1365">
        <v>10</v>
      </c>
      <c r="AN20" s="154"/>
      <c r="AO20" s="151"/>
      <c r="AP20" s="152"/>
      <c r="AQ20" s="154"/>
    </row>
    <row r="21" spans="1:43" s="114" customFormat="1" ht="58.5" customHeight="1" x14ac:dyDescent="0.25">
      <c r="A21" s="1786"/>
      <c r="B21" s="1791"/>
      <c r="C21" s="1690"/>
      <c r="D21" s="1777"/>
      <c r="E21" s="209" t="s">
        <v>767</v>
      </c>
      <c r="F21" s="823" t="s">
        <v>762</v>
      </c>
      <c r="G21" s="829">
        <v>0</v>
      </c>
      <c r="H21" s="819">
        <v>0.1</v>
      </c>
      <c r="I21" s="816" t="s">
        <v>42</v>
      </c>
      <c r="J21" s="215" t="s">
        <v>40</v>
      </c>
      <c r="K21" s="827">
        <v>10</v>
      </c>
      <c r="L21" s="126">
        <f t="shared" si="0"/>
        <v>10</v>
      </c>
      <c r="M21" s="607">
        <f t="shared" si="1"/>
        <v>1</v>
      </c>
      <c r="N21" s="1201">
        <v>30</v>
      </c>
      <c r="O21" s="1211">
        <f t="shared" si="2"/>
        <v>6</v>
      </c>
      <c r="P21" s="607">
        <f t="shared" si="3"/>
        <v>0.2</v>
      </c>
      <c r="Q21" s="1354">
        <v>20</v>
      </c>
      <c r="R21" s="1359">
        <f t="shared" si="4"/>
        <v>0</v>
      </c>
      <c r="S21" s="1274">
        <f t="shared" si="5"/>
        <v>0</v>
      </c>
      <c r="T21" s="1354">
        <v>0</v>
      </c>
      <c r="U21" s="1359">
        <f t="shared" si="11"/>
        <v>0</v>
      </c>
      <c r="V21" s="607">
        <f t="shared" si="6"/>
        <v>0</v>
      </c>
      <c r="W21" s="199">
        <f t="shared" si="7"/>
        <v>60</v>
      </c>
      <c r="X21" s="1359">
        <f t="shared" si="8"/>
        <v>16</v>
      </c>
      <c r="Y21" s="607">
        <f t="shared" si="9"/>
        <v>0.26666666666666666</v>
      </c>
      <c r="Z21" s="768">
        <f t="shared" si="10"/>
        <v>2.6666666666666668E-2</v>
      </c>
      <c r="AA21" s="767" t="s">
        <v>763</v>
      </c>
      <c r="AB21" s="812" t="s">
        <v>764</v>
      </c>
      <c r="AC21" s="812" t="s">
        <v>765</v>
      </c>
      <c r="AD21" s="148" t="s">
        <v>43</v>
      </c>
      <c r="AE21" s="671"/>
      <c r="AF21" s="809">
        <v>10</v>
      </c>
      <c r="AG21" s="829">
        <v>16</v>
      </c>
      <c r="AH21" s="676"/>
      <c r="AI21" s="1268">
        <v>6</v>
      </c>
      <c r="AJ21" s="1214">
        <v>30</v>
      </c>
      <c r="AK21" s="204"/>
      <c r="AL21" s="151">
        <v>0</v>
      </c>
      <c r="AM21" s="1365">
        <v>20</v>
      </c>
      <c r="AN21" s="154"/>
      <c r="AO21" s="151"/>
      <c r="AP21" s="152"/>
      <c r="AQ21" s="154"/>
    </row>
    <row r="22" spans="1:43" s="114" customFormat="1" ht="60" customHeight="1" x14ac:dyDescent="0.25">
      <c r="A22" s="1786"/>
      <c r="B22" s="1791"/>
      <c r="C22" s="1690"/>
      <c r="D22" s="1777"/>
      <c r="E22" s="207" t="s">
        <v>768</v>
      </c>
      <c r="F22" s="823" t="s">
        <v>307</v>
      </c>
      <c r="G22" s="422">
        <v>523</v>
      </c>
      <c r="H22" s="425">
        <v>0.15</v>
      </c>
      <c r="I22" s="210" t="s">
        <v>42</v>
      </c>
      <c r="J22" s="215" t="s">
        <v>40</v>
      </c>
      <c r="K22" s="539">
        <v>300</v>
      </c>
      <c r="L22" s="126">
        <f t="shared" si="0"/>
        <v>878</v>
      </c>
      <c r="M22" s="607">
        <f t="shared" si="1"/>
        <v>2.9266666666666667</v>
      </c>
      <c r="N22" s="1201">
        <v>300</v>
      </c>
      <c r="O22" s="1211">
        <f t="shared" si="2"/>
        <v>410</v>
      </c>
      <c r="P22" s="607">
        <f t="shared" si="3"/>
        <v>1.3666666666666667</v>
      </c>
      <c r="Q22" s="1354">
        <v>300</v>
      </c>
      <c r="R22" s="1359">
        <f t="shared" si="4"/>
        <v>525</v>
      </c>
      <c r="S22" s="607">
        <f t="shared" si="5"/>
        <v>1.75</v>
      </c>
      <c r="T22" s="1354">
        <v>300</v>
      </c>
      <c r="U22" s="1359">
        <f t="shared" si="11"/>
        <v>0</v>
      </c>
      <c r="V22" s="607">
        <f t="shared" si="6"/>
        <v>0</v>
      </c>
      <c r="W22" s="199">
        <f t="shared" si="7"/>
        <v>1200</v>
      </c>
      <c r="X22" s="1359">
        <f t="shared" si="8"/>
        <v>1813</v>
      </c>
      <c r="Y22" s="607">
        <f t="shared" si="9"/>
        <v>1.5108333333333333</v>
      </c>
      <c r="Z22" s="768">
        <f t="shared" si="10"/>
        <v>0.22662499999999997</v>
      </c>
      <c r="AA22" s="767" t="s">
        <v>369</v>
      </c>
      <c r="AB22" s="420" t="s">
        <v>508</v>
      </c>
      <c r="AC22" s="420" t="s">
        <v>509</v>
      </c>
      <c r="AD22" s="148" t="s">
        <v>43</v>
      </c>
      <c r="AE22" s="671" t="s">
        <v>408</v>
      </c>
      <c r="AF22" s="535">
        <v>878</v>
      </c>
      <c r="AG22" s="537">
        <v>300</v>
      </c>
      <c r="AH22" s="676"/>
      <c r="AI22" s="1268">
        <v>410</v>
      </c>
      <c r="AJ22" s="1214">
        <v>300</v>
      </c>
      <c r="AK22" s="204"/>
      <c r="AL22" s="151">
        <v>525</v>
      </c>
      <c r="AM22" s="1365">
        <v>300</v>
      </c>
      <c r="AN22" s="154"/>
      <c r="AO22" s="151"/>
      <c r="AP22" s="152"/>
      <c r="AQ22" s="154"/>
    </row>
    <row r="23" spans="1:43" s="114" customFormat="1" ht="60" customHeight="1" x14ac:dyDescent="0.25">
      <c r="A23" s="1786"/>
      <c r="B23" s="1791"/>
      <c r="C23" s="1690"/>
      <c r="D23" s="1777"/>
      <c r="E23" s="831" t="s">
        <v>769</v>
      </c>
      <c r="F23" s="829" t="s">
        <v>750</v>
      </c>
      <c r="G23" s="126">
        <v>0</v>
      </c>
      <c r="H23" s="816">
        <v>0.1</v>
      </c>
      <c r="I23" s="816" t="s">
        <v>42</v>
      </c>
      <c r="J23" s="215" t="s">
        <v>40</v>
      </c>
      <c r="K23" s="143">
        <v>50</v>
      </c>
      <c r="L23" s="126">
        <f t="shared" si="0"/>
        <v>31</v>
      </c>
      <c r="M23" s="607">
        <f t="shared" si="1"/>
        <v>0.62</v>
      </c>
      <c r="N23" s="1201">
        <v>50</v>
      </c>
      <c r="O23" s="1211">
        <f t="shared" si="2"/>
        <v>278</v>
      </c>
      <c r="P23" s="607">
        <f t="shared" si="3"/>
        <v>5.56</v>
      </c>
      <c r="Q23" s="1354">
        <v>50</v>
      </c>
      <c r="R23" s="1359">
        <f t="shared" si="4"/>
        <v>0</v>
      </c>
      <c r="S23" s="1274">
        <f t="shared" si="5"/>
        <v>0</v>
      </c>
      <c r="T23" s="1354">
        <v>88</v>
      </c>
      <c r="U23" s="1359">
        <f t="shared" si="11"/>
        <v>0</v>
      </c>
      <c r="V23" s="607">
        <f t="shared" si="6"/>
        <v>0</v>
      </c>
      <c r="W23" s="199">
        <f t="shared" si="7"/>
        <v>238</v>
      </c>
      <c r="X23" s="1359">
        <f t="shared" si="8"/>
        <v>309</v>
      </c>
      <c r="Y23" s="607">
        <f t="shared" si="9"/>
        <v>1.2983193277310925</v>
      </c>
      <c r="Z23" s="768">
        <f t="shared" si="10"/>
        <v>0.12983193277310925</v>
      </c>
      <c r="AA23" s="767" t="s">
        <v>745</v>
      </c>
      <c r="AB23" s="812" t="s">
        <v>744</v>
      </c>
      <c r="AC23" s="812" t="s">
        <v>743</v>
      </c>
      <c r="AD23" s="148" t="s">
        <v>43</v>
      </c>
      <c r="AE23" s="671"/>
      <c r="AF23" s="810">
        <v>31</v>
      </c>
      <c r="AG23" s="126">
        <v>50</v>
      </c>
      <c r="AH23" s="676"/>
      <c r="AI23" s="1268">
        <v>278</v>
      </c>
      <c r="AJ23" s="1214">
        <v>50</v>
      </c>
      <c r="AK23" s="204"/>
      <c r="AL23" s="151">
        <v>0</v>
      </c>
      <c r="AM23" s="1365">
        <v>50</v>
      </c>
      <c r="AN23" s="154"/>
      <c r="AO23" s="151"/>
      <c r="AP23" s="152"/>
      <c r="AQ23" s="154"/>
    </row>
    <row r="24" spans="1:43" s="114" customFormat="1" ht="70.5" customHeight="1" thickBot="1" x14ac:dyDescent="0.3">
      <c r="A24" s="1787"/>
      <c r="B24" s="1791"/>
      <c r="C24" s="1690"/>
      <c r="D24" s="1777"/>
      <c r="E24" s="211" t="s">
        <v>770</v>
      </c>
      <c r="F24" s="824" t="s">
        <v>751</v>
      </c>
      <c r="G24" s="126">
        <v>500</v>
      </c>
      <c r="H24" s="210">
        <v>0.1</v>
      </c>
      <c r="I24" s="210" t="s">
        <v>42</v>
      </c>
      <c r="J24" s="215" t="s">
        <v>40</v>
      </c>
      <c r="K24" s="540">
        <v>300</v>
      </c>
      <c r="L24" s="486">
        <f t="shared" si="0"/>
        <v>312</v>
      </c>
      <c r="M24" s="608">
        <f t="shared" si="1"/>
        <v>1.04</v>
      </c>
      <c r="N24" s="143">
        <v>400</v>
      </c>
      <c r="O24" s="126">
        <f t="shared" si="2"/>
        <v>48</v>
      </c>
      <c r="P24" s="612">
        <f t="shared" si="3"/>
        <v>0.12</v>
      </c>
      <c r="Q24" s="143">
        <v>200</v>
      </c>
      <c r="R24" s="126">
        <f t="shared" si="4"/>
        <v>24</v>
      </c>
      <c r="S24" s="612">
        <f t="shared" si="5"/>
        <v>0.12</v>
      </c>
      <c r="T24" s="143">
        <v>200</v>
      </c>
      <c r="U24" s="126">
        <f t="shared" si="11"/>
        <v>0</v>
      </c>
      <c r="V24" s="612">
        <f t="shared" si="6"/>
        <v>0</v>
      </c>
      <c r="W24" s="1373">
        <f t="shared" si="7"/>
        <v>1100</v>
      </c>
      <c r="X24" s="126">
        <f t="shared" si="8"/>
        <v>384</v>
      </c>
      <c r="Y24" s="612">
        <f t="shared" si="9"/>
        <v>0.34909090909090912</v>
      </c>
      <c r="Z24" s="1376">
        <f t="shared" si="10"/>
        <v>3.490909090909091E-2</v>
      </c>
      <c r="AA24" s="1375" t="s">
        <v>370</v>
      </c>
      <c r="AB24" s="420" t="s">
        <v>508</v>
      </c>
      <c r="AC24" s="420" t="s">
        <v>509</v>
      </c>
      <c r="AD24" s="162" t="s">
        <v>43</v>
      </c>
      <c r="AE24" s="672" t="s">
        <v>409</v>
      </c>
      <c r="AF24" s="624">
        <v>312</v>
      </c>
      <c r="AG24" s="126">
        <v>300</v>
      </c>
      <c r="AH24" s="676"/>
      <c r="AI24" s="1217">
        <v>48</v>
      </c>
      <c r="AJ24" s="1269">
        <v>400</v>
      </c>
      <c r="AK24" s="167"/>
      <c r="AL24" s="165">
        <v>24</v>
      </c>
      <c r="AM24" s="1367">
        <v>200</v>
      </c>
      <c r="AN24" s="168"/>
      <c r="AO24" s="165"/>
      <c r="AP24" s="166"/>
      <c r="AQ24" s="168"/>
    </row>
    <row r="25" spans="1:43" s="114" customFormat="1" ht="72" customHeight="1" x14ac:dyDescent="0.25">
      <c r="A25" s="1779" t="s">
        <v>594</v>
      </c>
      <c r="B25" s="1675">
        <v>19</v>
      </c>
      <c r="C25" s="1668" t="s">
        <v>790</v>
      </c>
      <c r="D25" s="1774">
        <v>0.25</v>
      </c>
      <c r="E25" s="417" t="s">
        <v>585</v>
      </c>
      <c r="F25" s="412" t="s">
        <v>345</v>
      </c>
      <c r="G25" s="331">
        <v>0</v>
      </c>
      <c r="H25" s="424">
        <v>0.5</v>
      </c>
      <c r="I25" s="424" t="s">
        <v>42</v>
      </c>
      <c r="J25" s="213" t="s">
        <v>40</v>
      </c>
      <c r="K25" s="538">
        <v>1</v>
      </c>
      <c r="L25" s="508">
        <f t="shared" si="0"/>
        <v>1</v>
      </c>
      <c r="M25" s="606">
        <f t="shared" si="1"/>
        <v>1</v>
      </c>
      <c r="N25" s="1200">
        <v>5</v>
      </c>
      <c r="O25" s="1212">
        <f t="shared" ref="O25:O28" si="19">IF(I25="Cantidad",AI25,IF(ISERROR(AI25/AJ25),0,AI25/AJ25))</f>
        <v>8</v>
      </c>
      <c r="P25" s="606">
        <f t="shared" si="3"/>
        <v>1.6</v>
      </c>
      <c r="Q25" s="1353">
        <v>6</v>
      </c>
      <c r="R25" s="1360">
        <f t="shared" si="4"/>
        <v>0</v>
      </c>
      <c r="S25" s="1413">
        <f t="shared" si="5"/>
        <v>0</v>
      </c>
      <c r="T25" s="1353">
        <v>4</v>
      </c>
      <c r="U25" s="1360">
        <f t="shared" si="11"/>
        <v>0</v>
      </c>
      <c r="V25" s="606">
        <f t="shared" si="6"/>
        <v>0</v>
      </c>
      <c r="W25" s="129">
        <f t="shared" si="7"/>
        <v>16</v>
      </c>
      <c r="X25" s="1360">
        <f t="shared" si="8"/>
        <v>9</v>
      </c>
      <c r="Y25" s="606">
        <f t="shared" si="9"/>
        <v>0.5625</v>
      </c>
      <c r="Z25" s="764">
        <f t="shared" si="10"/>
        <v>0.28125</v>
      </c>
      <c r="AA25" s="1374" t="s">
        <v>590</v>
      </c>
      <c r="AB25" s="315" t="s">
        <v>371</v>
      </c>
      <c r="AC25" s="315" t="s">
        <v>372</v>
      </c>
      <c r="AD25" s="219" t="s">
        <v>43</v>
      </c>
      <c r="AE25" s="675" t="s">
        <v>410</v>
      </c>
      <c r="AF25" s="527">
        <v>1</v>
      </c>
      <c r="AG25" s="528">
        <v>1</v>
      </c>
      <c r="AH25" s="134"/>
      <c r="AI25" s="1272">
        <v>8</v>
      </c>
      <c r="AJ25" s="1267">
        <v>5</v>
      </c>
      <c r="AK25" s="436"/>
      <c r="AL25" s="434">
        <v>0</v>
      </c>
      <c r="AM25" s="1366">
        <v>6</v>
      </c>
      <c r="AN25" s="222"/>
      <c r="AO25" s="434"/>
      <c r="AP25" s="435"/>
      <c r="AQ25" s="222"/>
    </row>
    <row r="26" spans="1:43" s="114" customFormat="1" ht="63.75" thickBot="1" x14ac:dyDescent="0.3">
      <c r="A26" s="1732"/>
      <c r="B26" s="1677"/>
      <c r="C26" s="1681"/>
      <c r="D26" s="1776"/>
      <c r="E26" s="419" t="s">
        <v>586</v>
      </c>
      <c r="F26" s="428" t="s">
        <v>313</v>
      </c>
      <c r="G26" s="325">
        <v>0</v>
      </c>
      <c r="H26" s="429">
        <v>0.5</v>
      </c>
      <c r="I26" s="429" t="s">
        <v>42</v>
      </c>
      <c r="J26" s="217" t="s">
        <v>40</v>
      </c>
      <c r="K26" s="540">
        <v>1</v>
      </c>
      <c r="L26" s="486">
        <f t="shared" si="0"/>
        <v>0</v>
      </c>
      <c r="M26" s="608">
        <f t="shared" si="1"/>
        <v>0</v>
      </c>
      <c r="N26" s="143">
        <v>5</v>
      </c>
      <c r="O26" s="126">
        <f t="shared" si="19"/>
        <v>0</v>
      </c>
      <c r="P26" s="612">
        <f t="shared" si="3"/>
        <v>0</v>
      </c>
      <c r="Q26" s="1355">
        <v>6</v>
      </c>
      <c r="R26" s="486">
        <f t="shared" si="4"/>
        <v>0</v>
      </c>
      <c r="S26" s="1414">
        <f t="shared" si="5"/>
        <v>0</v>
      </c>
      <c r="T26" s="143">
        <v>4</v>
      </c>
      <c r="U26" s="126">
        <f t="shared" si="11"/>
        <v>0</v>
      </c>
      <c r="V26" s="612">
        <f t="shared" si="6"/>
        <v>0</v>
      </c>
      <c r="W26" s="1373">
        <f t="shared" si="7"/>
        <v>16</v>
      </c>
      <c r="X26" s="126">
        <f t="shared" si="8"/>
        <v>0</v>
      </c>
      <c r="Y26" s="612">
        <f t="shared" si="9"/>
        <v>0</v>
      </c>
      <c r="Z26" s="1376">
        <f t="shared" si="10"/>
        <v>0</v>
      </c>
      <c r="AA26" s="1375" t="s">
        <v>373</v>
      </c>
      <c r="AB26" s="419" t="s">
        <v>374</v>
      </c>
      <c r="AC26" s="419" t="s">
        <v>375</v>
      </c>
      <c r="AD26" s="162" t="s">
        <v>43</v>
      </c>
      <c r="AE26" s="672" t="s">
        <v>411</v>
      </c>
      <c r="AF26" s="624">
        <v>0</v>
      </c>
      <c r="AG26" s="126">
        <v>1</v>
      </c>
      <c r="AH26" s="150"/>
      <c r="AI26" s="1270">
        <v>0</v>
      </c>
      <c r="AJ26" s="1269">
        <v>5</v>
      </c>
      <c r="AK26" s="167"/>
      <c r="AL26" s="165">
        <v>0</v>
      </c>
      <c r="AM26" s="1367">
        <v>6</v>
      </c>
      <c r="AN26" s="168"/>
      <c r="AO26" s="165"/>
      <c r="AP26" s="166"/>
      <c r="AQ26" s="168"/>
    </row>
    <row r="27" spans="1:43" s="114" customFormat="1" ht="63" x14ac:dyDescent="0.25">
      <c r="A27" s="1732"/>
      <c r="B27" s="1773">
        <v>20</v>
      </c>
      <c r="C27" s="1782" t="s">
        <v>229</v>
      </c>
      <c r="D27" s="1778">
        <v>0.25</v>
      </c>
      <c r="E27" s="423" t="s">
        <v>587</v>
      </c>
      <c r="F27" s="411" t="s">
        <v>284</v>
      </c>
      <c r="G27" s="411">
        <v>20</v>
      </c>
      <c r="H27" s="427">
        <v>0.5</v>
      </c>
      <c r="I27" s="427" t="s">
        <v>42</v>
      </c>
      <c r="J27" s="673" t="s">
        <v>40</v>
      </c>
      <c r="K27" s="538">
        <v>1</v>
      </c>
      <c r="L27" s="508">
        <f t="shared" si="0"/>
        <v>1</v>
      </c>
      <c r="M27" s="606">
        <f t="shared" si="1"/>
        <v>1</v>
      </c>
      <c r="N27" s="1200">
        <v>4</v>
      </c>
      <c r="O27" s="1212">
        <f t="shared" si="19"/>
        <v>8</v>
      </c>
      <c r="P27" s="606">
        <f t="shared" si="3"/>
        <v>2</v>
      </c>
      <c r="Q27" s="1353">
        <v>5</v>
      </c>
      <c r="R27" s="1360">
        <f t="shared" si="4"/>
        <v>0</v>
      </c>
      <c r="S27" s="1413">
        <f t="shared" si="5"/>
        <v>0</v>
      </c>
      <c r="T27" s="1353">
        <v>10</v>
      </c>
      <c r="U27" s="1360">
        <f t="shared" si="11"/>
        <v>0</v>
      </c>
      <c r="V27" s="606">
        <f t="shared" si="6"/>
        <v>0</v>
      </c>
      <c r="W27" s="129">
        <f t="shared" si="7"/>
        <v>20</v>
      </c>
      <c r="X27" s="1360">
        <f t="shared" si="8"/>
        <v>9</v>
      </c>
      <c r="Y27" s="606">
        <f t="shared" si="9"/>
        <v>0.45</v>
      </c>
      <c r="Z27" s="764">
        <f t="shared" si="10"/>
        <v>0.22500000000000001</v>
      </c>
      <c r="AA27" s="1374" t="s">
        <v>348</v>
      </c>
      <c r="AB27" s="315" t="s">
        <v>346</v>
      </c>
      <c r="AC27" s="315" t="s">
        <v>347</v>
      </c>
      <c r="AD27" s="219" t="s">
        <v>43</v>
      </c>
      <c r="AE27" s="675" t="s">
        <v>412</v>
      </c>
      <c r="AF27" s="527">
        <v>1</v>
      </c>
      <c r="AG27" s="528">
        <v>1</v>
      </c>
      <c r="AH27" s="134"/>
      <c r="AI27" s="1272">
        <v>8</v>
      </c>
      <c r="AJ27" s="1267">
        <v>4</v>
      </c>
      <c r="AK27" s="436"/>
      <c r="AL27" s="434">
        <v>0</v>
      </c>
      <c r="AM27" s="1366">
        <v>5</v>
      </c>
      <c r="AN27" s="222"/>
      <c r="AO27" s="434"/>
      <c r="AP27" s="435"/>
      <c r="AQ27" s="222"/>
    </row>
    <row r="28" spans="1:43" s="114" customFormat="1" ht="79.5" thickBot="1" x14ac:dyDescent="0.3">
      <c r="A28" s="1733"/>
      <c r="B28" s="1677"/>
      <c r="C28" s="1681"/>
      <c r="D28" s="1776"/>
      <c r="E28" s="419" t="s">
        <v>588</v>
      </c>
      <c r="F28" s="428" t="s">
        <v>516</v>
      </c>
      <c r="G28" s="428">
        <v>431</v>
      </c>
      <c r="H28" s="429">
        <v>0.5</v>
      </c>
      <c r="I28" s="429" t="s">
        <v>42</v>
      </c>
      <c r="J28" s="217" t="s">
        <v>40</v>
      </c>
      <c r="K28" s="540">
        <v>67</v>
      </c>
      <c r="L28" s="486">
        <f t="shared" si="0"/>
        <v>60</v>
      </c>
      <c r="M28" s="608">
        <f t="shared" si="1"/>
        <v>0.89552238805970152</v>
      </c>
      <c r="N28" s="1202">
        <v>67</v>
      </c>
      <c r="O28" s="486">
        <f t="shared" si="19"/>
        <v>36</v>
      </c>
      <c r="P28" s="608">
        <f t="shared" si="3"/>
        <v>0.53731343283582089</v>
      </c>
      <c r="Q28" s="1355">
        <v>67</v>
      </c>
      <c r="R28" s="486">
        <f t="shared" si="4"/>
        <v>14</v>
      </c>
      <c r="S28" s="608">
        <f t="shared" si="5"/>
        <v>0.20895522388059701</v>
      </c>
      <c r="T28" s="1355">
        <v>68</v>
      </c>
      <c r="U28" s="486">
        <f t="shared" si="11"/>
        <v>0</v>
      </c>
      <c r="V28" s="608">
        <f t="shared" si="6"/>
        <v>0</v>
      </c>
      <c r="W28" s="159">
        <f t="shared" si="7"/>
        <v>269</v>
      </c>
      <c r="X28" s="486">
        <f t="shared" si="8"/>
        <v>110</v>
      </c>
      <c r="Y28" s="608">
        <f t="shared" si="9"/>
        <v>0.40892193308550184</v>
      </c>
      <c r="Z28" s="769">
        <f t="shared" si="10"/>
        <v>0.20446096654275092</v>
      </c>
      <c r="AA28" s="1375" t="s">
        <v>349</v>
      </c>
      <c r="AB28" s="419" t="s">
        <v>510</v>
      </c>
      <c r="AC28" s="419" t="s">
        <v>511</v>
      </c>
      <c r="AD28" s="162" t="s">
        <v>43</v>
      </c>
      <c r="AE28" s="672" t="s">
        <v>408</v>
      </c>
      <c r="AF28" s="478">
        <v>60</v>
      </c>
      <c r="AG28" s="486">
        <v>67</v>
      </c>
      <c r="AH28" s="164"/>
      <c r="AI28" s="1270">
        <v>36</v>
      </c>
      <c r="AJ28" s="1269">
        <v>67</v>
      </c>
      <c r="AK28" s="167"/>
      <c r="AL28" s="165">
        <v>14</v>
      </c>
      <c r="AM28" s="1367">
        <v>67</v>
      </c>
      <c r="AN28" s="168"/>
      <c r="AO28" s="165"/>
      <c r="AP28" s="166"/>
      <c r="AQ28" s="168"/>
    </row>
    <row r="29" spans="1:43" s="114" customFormat="1" ht="12" customHeight="1" x14ac:dyDescent="0.25">
      <c r="A29" s="106"/>
      <c r="B29" s="106"/>
      <c r="C29" s="106"/>
      <c r="D29" s="212">
        <f>SUM(D11:D28)</f>
        <v>1</v>
      </c>
      <c r="E29" s="106"/>
      <c r="F29" s="106"/>
      <c r="G29" s="106"/>
      <c r="H29" s="188">
        <f>SUM(H11:H15)</f>
        <v>1</v>
      </c>
      <c r="I29" s="106"/>
      <c r="J29" s="106"/>
      <c r="K29" s="106"/>
      <c r="L29" s="106"/>
      <c r="M29" s="106"/>
      <c r="N29" s="106"/>
      <c r="O29" s="106"/>
      <c r="P29" s="106"/>
      <c r="Q29" s="106"/>
      <c r="R29" s="106"/>
      <c r="S29" s="106"/>
      <c r="T29" s="106"/>
      <c r="U29" s="106"/>
      <c r="V29" s="106"/>
      <c r="W29" s="106"/>
      <c r="X29" s="106"/>
      <c r="Y29" s="106"/>
      <c r="Z29" s="106"/>
      <c r="AA29" s="106"/>
      <c r="AB29" s="106"/>
      <c r="AC29" s="106"/>
      <c r="AD29" s="106"/>
      <c r="AF29" s="530"/>
      <c r="AG29" s="530"/>
      <c r="AH29" s="106"/>
      <c r="AI29" s="1265"/>
      <c r="AJ29" s="1265"/>
    </row>
    <row r="30" spans="1:43" s="114" customFormat="1" x14ac:dyDescent="0.2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F30" s="530"/>
      <c r="AG30" s="530"/>
      <c r="AH30" s="106"/>
      <c r="AI30" s="1265"/>
      <c r="AJ30" s="1265"/>
    </row>
    <row r="31" spans="1:43" s="114" customFormat="1" x14ac:dyDescent="0.2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F31" s="530"/>
      <c r="AG31" s="530"/>
      <c r="AH31" s="106"/>
      <c r="AI31" s="1265"/>
      <c r="AJ31" s="1265"/>
    </row>
    <row r="32" spans="1:43" s="114" customFormat="1" x14ac:dyDescent="0.2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F32" s="530"/>
      <c r="AG32" s="530"/>
      <c r="AH32" s="106"/>
      <c r="AI32" s="1265"/>
      <c r="AJ32" s="1265"/>
    </row>
    <row r="33" spans="1:36" s="114" customFormat="1" x14ac:dyDescent="0.25">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F33" s="530"/>
      <c r="AG33" s="530"/>
      <c r="AH33" s="106"/>
      <c r="AI33" s="1265"/>
      <c r="AJ33" s="1265"/>
    </row>
    <row r="34" spans="1:36" s="114" customFormat="1" x14ac:dyDescent="0.2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F34" s="530"/>
      <c r="AG34" s="530"/>
      <c r="AH34" s="106"/>
      <c r="AI34" s="1265"/>
      <c r="AJ34" s="1265"/>
    </row>
    <row r="35" spans="1:36" s="114" customFormat="1" x14ac:dyDescent="0.25">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F35" s="530"/>
      <c r="AG35" s="530"/>
      <c r="AH35" s="106"/>
      <c r="AI35" s="1265"/>
      <c r="AJ35" s="1265"/>
    </row>
    <row r="36" spans="1:36" s="114" customFormat="1" x14ac:dyDescent="0.25">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F36" s="530"/>
      <c r="AG36" s="530"/>
      <c r="AH36" s="106"/>
      <c r="AI36" s="1265"/>
      <c r="AJ36" s="1265"/>
    </row>
    <row r="37" spans="1:36" s="114" customFormat="1" x14ac:dyDescent="0.25">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F37" s="530"/>
      <c r="AG37" s="530"/>
      <c r="AH37" s="106"/>
      <c r="AI37" s="1265"/>
      <c r="AJ37" s="1265"/>
    </row>
    <row r="38" spans="1:36" s="114" customFormat="1" x14ac:dyDescent="0.2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F38" s="530"/>
      <c r="AG38" s="530"/>
      <c r="AH38" s="106"/>
      <c r="AI38" s="1265"/>
      <c r="AJ38" s="1265"/>
    </row>
    <row r="39" spans="1:36" s="114" customFormat="1" x14ac:dyDescent="0.2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F39" s="530"/>
      <c r="AG39" s="530"/>
      <c r="AH39" s="106"/>
      <c r="AI39" s="1265"/>
      <c r="AJ39" s="1265"/>
    </row>
    <row r="40" spans="1:36" s="114" customFormat="1" x14ac:dyDescent="0.2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F40" s="530"/>
      <c r="AG40" s="530"/>
      <c r="AH40" s="106"/>
      <c r="AI40" s="1265"/>
      <c r="AJ40" s="1265"/>
    </row>
    <row r="41" spans="1:36" s="114" customFormat="1" x14ac:dyDescent="0.25">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F41" s="530"/>
      <c r="AG41" s="530"/>
      <c r="AH41" s="106"/>
      <c r="AI41" s="1265"/>
      <c r="AJ41" s="1265"/>
    </row>
    <row r="42" spans="1:36" s="114" customFormat="1" x14ac:dyDescent="0.25">
      <c r="A42" s="106"/>
      <c r="B42" s="106"/>
      <c r="C42" s="106"/>
      <c r="D42" s="106"/>
      <c r="E42" s="106"/>
      <c r="F42" s="106"/>
      <c r="G42" s="106"/>
      <c r="H42" s="106"/>
      <c r="I42" s="106"/>
      <c r="J42" s="106"/>
      <c r="K42" s="106">
        <v>1297</v>
      </c>
      <c r="L42" s="106"/>
      <c r="M42" s="106"/>
      <c r="N42" s="106"/>
      <c r="O42" s="106"/>
      <c r="P42" s="106"/>
      <c r="Q42" s="106"/>
      <c r="R42" s="106"/>
      <c r="S42" s="106"/>
      <c r="T42" s="106"/>
      <c r="U42" s="106"/>
      <c r="V42" s="106"/>
      <c r="W42" s="106"/>
      <c r="X42" s="106"/>
      <c r="Y42" s="106"/>
      <c r="Z42" s="106"/>
      <c r="AA42" s="106"/>
      <c r="AB42" s="106"/>
      <c r="AC42" s="106"/>
      <c r="AD42" s="106"/>
      <c r="AF42" s="530"/>
      <c r="AG42" s="530"/>
      <c r="AH42" s="106"/>
      <c r="AI42" s="1265"/>
      <c r="AJ42" s="1265"/>
    </row>
    <row r="43" spans="1:36" s="114" customFormat="1" x14ac:dyDescent="0.25">
      <c r="A43" s="106"/>
      <c r="B43" s="106"/>
      <c r="C43" s="106"/>
      <c r="D43" s="106"/>
      <c r="E43" s="106"/>
      <c r="F43" s="106"/>
      <c r="G43" s="106"/>
      <c r="H43" s="106"/>
      <c r="I43" s="106"/>
      <c r="J43" s="106"/>
      <c r="K43" s="106">
        <v>1489</v>
      </c>
      <c r="L43" s="106"/>
      <c r="M43" s="106"/>
      <c r="N43" s="106"/>
      <c r="O43" s="106"/>
      <c r="P43" s="106"/>
      <c r="Q43" s="106"/>
      <c r="R43" s="106"/>
      <c r="S43" s="106"/>
      <c r="T43" s="106"/>
      <c r="U43" s="106"/>
      <c r="V43" s="106"/>
      <c r="W43" s="106"/>
      <c r="X43" s="106"/>
      <c r="Y43" s="106"/>
      <c r="Z43" s="106"/>
      <c r="AA43" s="106"/>
      <c r="AB43" s="106"/>
      <c r="AC43" s="106"/>
      <c r="AD43" s="106"/>
      <c r="AF43" s="530"/>
      <c r="AG43" s="530"/>
      <c r="AH43" s="106"/>
      <c r="AI43" s="1265"/>
      <c r="AJ43" s="1265"/>
    </row>
    <row r="44" spans="1:36" s="114" customFormat="1" x14ac:dyDescent="0.25">
      <c r="A44" s="106"/>
      <c r="B44" s="106"/>
      <c r="C44" s="106"/>
      <c r="D44" s="106"/>
      <c r="E44" s="106"/>
      <c r="F44" s="106"/>
      <c r="G44" s="106"/>
      <c r="H44" s="106"/>
      <c r="I44" s="106"/>
      <c r="J44" s="106"/>
      <c r="K44" s="106">
        <f>+K43-K42</f>
        <v>192</v>
      </c>
      <c r="L44" s="106"/>
      <c r="M44" s="106"/>
      <c r="N44" s="106"/>
      <c r="O44" s="106"/>
      <c r="P44" s="106"/>
      <c r="Q44" s="106"/>
      <c r="R44" s="106"/>
      <c r="S44" s="106"/>
      <c r="T44" s="106"/>
      <c r="U44" s="106"/>
      <c r="V44" s="106"/>
      <c r="W44" s="106"/>
      <c r="X44" s="106"/>
      <c r="Y44" s="106"/>
      <c r="Z44" s="106"/>
      <c r="AA44" s="106"/>
      <c r="AB44" s="106"/>
      <c r="AC44" s="106"/>
      <c r="AD44" s="106"/>
      <c r="AF44" s="530"/>
      <c r="AG44" s="530"/>
      <c r="AH44" s="106"/>
      <c r="AI44" s="1265"/>
      <c r="AJ44" s="1265"/>
    </row>
    <row r="45" spans="1:36" s="114" customFormat="1" x14ac:dyDescent="0.2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F45" s="530"/>
      <c r="AG45" s="530"/>
      <c r="AH45" s="106"/>
      <c r="AI45" s="1265"/>
      <c r="AJ45" s="1265"/>
    </row>
    <row r="46" spans="1:36" s="114" customFormat="1" x14ac:dyDescent="0.25">
      <c r="A46" s="106"/>
      <c r="B46" s="106"/>
      <c r="C46" s="106"/>
      <c r="D46" s="106"/>
      <c r="E46" s="106"/>
      <c r="F46" s="106"/>
      <c r="G46" s="106"/>
      <c r="H46" s="106"/>
      <c r="I46" s="106"/>
      <c r="J46" s="106"/>
      <c r="K46" s="106">
        <v>145</v>
      </c>
      <c r="L46" s="106"/>
      <c r="M46" s="106"/>
      <c r="N46" s="106"/>
      <c r="O46" s="106"/>
      <c r="P46" s="106"/>
      <c r="Q46" s="106"/>
      <c r="R46" s="106"/>
      <c r="S46" s="106"/>
      <c r="T46" s="106"/>
      <c r="U46" s="106"/>
      <c r="V46" s="106"/>
      <c r="W46" s="106"/>
      <c r="X46" s="106"/>
      <c r="Y46" s="106"/>
      <c r="Z46" s="106"/>
      <c r="AA46" s="106"/>
      <c r="AB46" s="106"/>
      <c r="AC46" s="106"/>
      <c r="AD46" s="106"/>
      <c r="AF46" s="530"/>
      <c r="AG46" s="530"/>
      <c r="AH46" s="106"/>
      <c r="AI46" s="1265"/>
      <c r="AJ46" s="1265"/>
    </row>
    <row r="47" spans="1:36" s="114" customFormat="1" x14ac:dyDescent="0.25">
      <c r="A47" s="106"/>
      <c r="B47" s="106"/>
      <c r="C47" s="106"/>
      <c r="D47" s="106"/>
      <c r="E47" s="106"/>
      <c r="F47" s="106"/>
      <c r="G47" s="106"/>
      <c r="H47" s="106"/>
      <c r="I47" s="106"/>
      <c r="J47" s="106"/>
      <c r="K47" s="106">
        <f>+K44-K46</f>
        <v>47</v>
      </c>
      <c r="L47" s="106"/>
      <c r="M47" s="106"/>
      <c r="N47" s="106"/>
      <c r="O47" s="106"/>
      <c r="P47" s="106"/>
      <c r="Q47" s="106"/>
      <c r="R47" s="106"/>
      <c r="S47" s="106"/>
      <c r="T47" s="106"/>
      <c r="U47" s="106"/>
      <c r="V47" s="106"/>
      <c r="W47" s="106"/>
      <c r="X47" s="106"/>
      <c r="Y47" s="106"/>
      <c r="Z47" s="106"/>
      <c r="AA47" s="106"/>
      <c r="AB47" s="106"/>
      <c r="AC47" s="106"/>
      <c r="AD47" s="106"/>
      <c r="AF47" s="530"/>
      <c r="AG47" s="530"/>
      <c r="AH47" s="106"/>
      <c r="AI47" s="1265"/>
      <c r="AJ47" s="1265"/>
    </row>
    <row r="48" spans="1:36" s="114" customFormat="1" x14ac:dyDescent="0.25">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F48" s="530"/>
      <c r="AG48" s="530"/>
      <c r="AH48" s="106"/>
      <c r="AI48" s="1265"/>
      <c r="AJ48" s="1265"/>
    </row>
    <row r="49" spans="1:36" s="114" customFormat="1" x14ac:dyDescent="0.25">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F49" s="530"/>
      <c r="AG49" s="530"/>
      <c r="AH49" s="106"/>
      <c r="AI49" s="1265"/>
      <c r="AJ49" s="1265"/>
    </row>
    <row r="50" spans="1:36" s="114" customFormat="1" x14ac:dyDescent="0.25">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F50" s="530"/>
      <c r="AG50" s="530"/>
      <c r="AH50" s="106"/>
      <c r="AI50" s="1265"/>
      <c r="AJ50" s="1265"/>
    </row>
    <row r="51" spans="1:36" s="114" customFormat="1" x14ac:dyDescent="0.25">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F51" s="530"/>
      <c r="AG51" s="530"/>
      <c r="AH51" s="106"/>
      <c r="AI51" s="1265"/>
      <c r="AJ51" s="1265"/>
    </row>
    <row r="52" spans="1:36" s="114" customFormat="1" x14ac:dyDescent="0.25">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F52" s="530"/>
      <c r="AG52" s="530"/>
      <c r="AH52" s="106"/>
      <c r="AI52" s="1265"/>
      <c r="AJ52" s="1265"/>
    </row>
    <row r="53" spans="1:36" s="114" customFormat="1" x14ac:dyDescent="0.25">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F53" s="530"/>
      <c r="AG53" s="530"/>
      <c r="AH53" s="106"/>
      <c r="AI53" s="1265"/>
      <c r="AJ53" s="1265"/>
    </row>
    <row r="54" spans="1:36" s="114" customFormat="1" x14ac:dyDescent="0.25">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F54" s="530"/>
      <c r="AG54" s="530"/>
      <c r="AH54" s="106"/>
      <c r="AI54" s="1265"/>
      <c r="AJ54" s="1265"/>
    </row>
    <row r="55" spans="1:36" s="114" customFormat="1" x14ac:dyDescent="0.25">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F55" s="530"/>
      <c r="AG55" s="530"/>
      <c r="AH55" s="106"/>
      <c r="AI55" s="1265"/>
      <c r="AJ55" s="1265"/>
    </row>
    <row r="56" spans="1:36" s="114" customFormat="1" x14ac:dyDescent="0.25">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F56" s="530"/>
      <c r="AG56" s="530"/>
      <c r="AH56" s="106"/>
      <c r="AI56" s="1265"/>
      <c r="AJ56" s="1265"/>
    </row>
    <row r="57" spans="1:36" s="114" customFormat="1" x14ac:dyDescent="0.25">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F57" s="530"/>
      <c r="AG57" s="530"/>
      <c r="AH57" s="106"/>
      <c r="AI57" s="1265"/>
      <c r="AJ57" s="1265"/>
    </row>
    <row r="58" spans="1:36" s="114" customFormat="1" x14ac:dyDescent="0.25">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F58" s="530"/>
      <c r="AG58" s="530"/>
      <c r="AH58" s="106"/>
      <c r="AI58" s="1265"/>
      <c r="AJ58" s="1265"/>
    </row>
    <row r="59" spans="1:36" s="114" customFormat="1" x14ac:dyDescent="0.25">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F59" s="530"/>
      <c r="AG59" s="530"/>
      <c r="AH59" s="106"/>
      <c r="AI59" s="1265"/>
      <c r="AJ59" s="1265"/>
    </row>
    <row r="60" spans="1:36" s="114" customFormat="1" x14ac:dyDescent="0.25">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F60" s="530"/>
      <c r="AG60" s="530"/>
      <c r="AH60" s="106"/>
      <c r="AI60" s="1265"/>
      <c r="AJ60" s="1265"/>
    </row>
    <row r="61" spans="1:36" s="114" customFormat="1" x14ac:dyDescent="0.25">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F61" s="530"/>
      <c r="AG61" s="530"/>
      <c r="AH61" s="106"/>
      <c r="AI61" s="1265"/>
      <c r="AJ61" s="1265"/>
    </row>
    <row r="62" spans="1:36" s="114" customFormat="1" x14ac:dyDescent="0.25">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F62" s="530"/>
      <c r="AG62" s="530"/>
      <c r="AH62" s="106"/>
      <c r="AI62" s="1265"/>
      <c r="AJ62" s="1265"/>
    </row>
    <row r="63" spans="1:36" s="114" customFormat="1" x14ac:dyDescent="0.25">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F63" s="530"/>
      <c r="AG63" s="530"/>
      <c r="AH63" s="106"/>
      <c r="AI63" s="1265"/>
      <c r="AJ63" s="1265"/>
    </row>
    <row r="64" spans="1:36" s="114" customFormat="1" x14ac:dyDescent="0.25">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F64" s="530"/>
      <c r="AG64" s="530"/>
      <c r="AH64" s="106"/>
      <c r="AI64" s="1265"/>
      <c r="AJ64" s="1265"/>
    </row>
    <row r="65" spans="1:36" s="114" customFormat="1" x14ac:dyDescent="0.25">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F65" s="530"/>
      <c r="AG65" s="530"/>
      <c r="AH65" s="106"/>
      <c r="AI65" s="1265"/>
      <c r="AJ65" s="1265"/>
    </row>
    <row r="66" spans="1:36" s="114" customFormat="1" x14ac:dyDescent="0.25">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F66" s="530"/>
      <c r="AG66" s="530"/>
      <c r="AH66" s="106"/>
      <c r="AI66" s="1265"/>
      <c r="AJ66" s="1265"/>
    </row>
    <row r="67" spans="1:36" s="114" customFormat="1" x14ac:dyDescent="0.25">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F67" s="530"/>
      <c r="AG67" s="530"/>
      <c r="AH67" s="106"/>
      <c r="AI67" s="1265"/>
      <c r="AJ67" s="1265"/>
    </row>
    <row r="68" spans="1:36" s="114" customFormat="1" x14ac:dyDescent="0.25">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F68" s="530"/>
      <c r="AG68" s="530"/>
      <c r="AH68" s="106"/>
      <c r="AI68" s="1265"/>
      <c r="AJ68" s="1265"/>
    </row>
    <row r="69" spans="1:36" s="114" customFormat="1" x14ac:dyDescent="0.25">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F69" s="530"/>
      <c r="AG69" s="530"/>
      <c r="AH69" s="106"/>
      <c r="AI69" s="1265"/>
      <c r="AJ69" s="1265"/>
    </row>
    <row r="70" spans="1:36" s="114" customFormat="1" x14ac:dyDescent="0.25">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F70" s="530"/>
      <c r="AG70" s="530"/>
      <c r="AH70" s="106"/>
      <c r="AI70" s="1265"/>
      <c r="AJ70" s="1265"/>
    </row>
    <row r="71" spans="1:36" s="114" customFormat="1" x14ac:dyDescent="0.25">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F71" s="530"/>
      <c r="AG71" s="530"/>
      <c r="AH71" s="106"/>
      <c r="AI71" s="1265"/>
      <c r="AJ71" s="1265"/>
    </row>
    <row r="72" spans="1:36" s="114" customFormat="1" x14ac:dyDescent="0.25">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F72" s="530"/>
      <c r="AG72" s="530"/>
      <c r="AH72" s="106"/>
      <c r="AI72" s="1265"/>
      <c r="AJ72" s="1265"/>
    </row>
    <row r="73" spans="1:36" s="114" customFormat="1" x14ac:dyDescent="0.25">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F73" s="530"/>
      <c r="AG73" s="530"/>
      <c r="AH73" s="106"/>
      <c r="AI73" s="1265"/>
      <c r="AJ73" s="1265"/>
    </row>
    <row r="74" spans="1:36" s="114" customFormat="1" x14ac:dyDescent="0.25">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F74" s="530"/>
      <c r="AG74" s="530"/>
      <c r="AH74" s="106"/>
      <c r="AI74" s="1265"/>
      <c r="AJ74" s="1265"/>
    </row>
    <row r="75" spans="1:36" s="114" customFormat="1" x14ac:dyDescent="0.25">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F75" s="530"/>
      <c r="AG75" s="530"/>
      <c r="AH75" s="106"/>
      <c r="AI75" s="1265"/>
      <c r="AJ75" s="1265"/>
    </row>
    <row r="76" spans="1:36" s="114" customFormat="1" x14ac:dyDescent="0.25">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F76" s="530"/>
      <c r="AG76" s="530"/>
      <c r="AH76" s="106"/>
      <c r="AI76" s="1265"/>
      <c r="AJ76" s="1265"/>
    </row>
    <row r="77" spans="1:36" s="114" customFormat="1" x14ac:dyDescent="0.25">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F77" s="530"/>
      <c r="AG77" s="530"/>
      <c r="AH77" s="106"/>
      <c r="AI77" s="1265"/>
      <c r="AJ77" s="1265"/>
    </row>
    <row r="78" spans="1:36" s="114" customFormat="1" x14ac:dyDescent="0.25">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F78" s="530"/>
      <c r="AG78" s="530"/>
      <c r="AH78" s="106"/>
      <c r="AI78" s="1265"/>
      <c r="AJ78" s="1265"/>
    </row>
    <row r="79" spans="1:36" s="114" customFormat="1" x14ac:dyDescent="0.25">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F79" s="530"/>
      <c r="AG79" s="530"/>
      <c r="AH79" s="106"/>
      <c r="AI79" s="1265"/>
      <c r="AJ79" s="1265"/>
    </row>
    <row r="80" spans="1:36" s="114" customFormat="1" x14ac:dyDescent="0.25">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F80" s="530"/>
      <c r="AG80" s="530"/>
      <c r="AH80" s="106"/>
      <c r="AI80" s="1265"/>
      <c r="AJ80" s="1265"/>
    </row>
    <row r="81" spans="1:36" s="114" customFormat="1" x14ac:dyDescent="0.25">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F81" s="530"/>
      <c r="AG81" s="530"/>
      <c r="AH81" s="106"/>
      <c r="AI81" s="1265"/>
      <c r="AJ81" s="1265"/>
    </row>
    <row r="82" spans="1:36" s="114" customFormat="1" x14ac:dyDescent="0.25">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F82" s="530"/>
      <c r="AG82" s="530"/>
      <c r="AH82" s="106"/>
      <c r="AI82" s="1265"/>
      <c r="AJ82" s="1265"/>
    </row>
    <row r="83" spans="1:36" s="114" customFormat="1" x14ac:dyDescent="0.25">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F83" s="530"/>
      <c r="AG83" s="530"/>
      <c r="AH83" s="106"/>
      <c r="AI83" s="1265"/>
      <c r="AJ83" s="1265"/>
    </row>
    <row r="84" spans="1:36" s="114" customFormat="1" x14ac:dyDescent="0.25">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F84" s="530"/>
      <c r="AG84" s="530"/>
      <c r="AH84" s="106"/>
      <c r="AI84" s="1265"/>
      <c r="AJ84" s="1265"/>
    </row>
    <row r="85" spans="1:36" s="114" customFormat="1" x14ac:dyDescent="0.25">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F85" s="530"/>
      <c r="AG85" s="530"/>
      <c r="AH85" s="106"/>
      <c r="AI85" s="1265"/>
      <c r="AJ85" s="1265"/>
    </row>
    <row r="86" spans="1:36" s="114" customFormat="1" x14ac:dyDescent="0.25">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F86" s="530"/>
      <c r="AG86" s="530"/>
      <c r="AH86" s="106"/>
      <c r="AI86" s="1265"/>
      <c r="AJ86" s="1265"/>
    </row>
    <row r="87" spans="1:36" s="114" customFormat="1" x14ac:dyDescent="0.25">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F87" s="530"/>
      <c r="AG87" s="530"/>
      <c r="AH87" s="106"/>
      <c r="AI87" s="1265"/>
      <c r="AJ87" s="1265"/>
    </row>
    <row r="88" spans="1:36" s="114" customFormat="1" x14ac:dyDescent="0.25">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F88" s="530"/>
      <c r="AG88" s="530"/>
      <c r="AH88" s="106"/>
      <c r="AI88" s="1265"/>
      <c r="AJ88" s="1265"/>
    </row>
    <row r="89" spans="1:36" s="114" customFormat="1" x14ac:dyDescent="0.25">
      <c r="A89" s="106"/>
      <c r="B89" s="106"/>
      <c r="C89" s="106"/>
      <c r="D89" s="106"/>
      <c r="E89" s="106"/>
      <c r="F89" s="172"/>
      <c r="G89" s="172"/>
      <c r="H89" s="106"/>
      <c r="I89" s="173"/>
      <c r="J89" s="106"/>
      <c r="K89" s="106"/>
      <c r="L89" s="106"/>
      <c r="M89" s="106"/>
      <c r="N89" s="106"/>
      <c r="O89" s="106"/>
      <c r="P89" s="106"/>
      <c r="Q89" s="106"/>
      <c r="R89" s="106"/>
      <c r="S89" s="106"/>
      <c r="T89" s="106"/>
      <c r="U89" s="106"/>
      <c r="V89" s="106"/>
      <c r="W89" s="106"/>
      <c r="X89" s="106"/>
      <c r="Y89" s="106"/>
      <c r="Z89" s="106"/>
      <c r="AA89" s="106"/>
      <c r="AB89" s="106"/>
      <c r="AC89" s="106"/>
      <c r="AD89" s="106"/>
      <c r="AF89" s="530"/>
      <c r="AG89" s="530"/>
      <c r="AH89" s="106"/>
      <c r="AI89" s="1265"/>
      <c r="AJ89" s="1265"/>
    </row>
    <row r="90" spans="1:36" s="114" customFormat="1" x14ac:dyDescent="0.25">
      <c r="A90" s="106"/>
      <c r="B90" s="106"/>
      <c r="C90" s="106"/>
      <c r="D90" s="106"/>
      <c r="E90" s="106"/>
      <c r="F90" s="172"/>
      <c r="G90" s="172"/>
      <c r="H90" s="106"/>
      <c r="I90" s="173"/>
      <c r="J90" s="106"/>
      <c r="K90" s="106"/>
      <c r="L90" s="106"/>
      <c r="M90" s="106"/>
      <c r="N90" s="106"/>
      <c r="O90" s="106"/>
      <c r="P90" s="106"/>
      <c r="Q90" s="106"/>
      <c r="R90" s="106"/>
      <c r="S90" s="106"/>
      <c r="T90" s="106"/>
      <c r="U90" s="106"/>
      <c r="V90" s="106"/>
      <c r="W90" s="106"/>
      <c r="X90" s="106"/>
      <c r="Y90" s="106"/>
      <c r="Z90" s="106"/>
      <c r="AA90" s="106"/>
      <c r="AB90" s="106"/>
      <c r="AC90" s="106"/>
      <c r="AD90" s="106"/>
      <c r="AF90" s="530"/>
      <c r="AG90" s="530"/>
      <c r="AH90" s="106"/>
      <c r="AI90" s="1265"/>
      <c r="AJ90" s="1265"/>
    </row>
    <row r="91" spans="1:36" s="114" customFormat="1" x14ac:dyDescent="0.25">
      <c r="A91" s="106"/>
      <c r="B91" s="106"/>
      <c r="C91" s="106"/>
      <c r="D91" s="106"/>
      <c r="E91" s="106"/>
      <c r="F91" s="172"/>
      <c r="G91" s="172"/>
      <c r="H91" s="106"/>
      <c r="I91" s="173"/>
      <c r="J91" s="106"/>
      <c r="K91" s="106"/>
      <c r="L91" s="106"/>
      <c r="M91" s="106"/>
      <c r="N91" s="106"/>
      <c r="O91" s="106"/>
      <c r="P91" s="106"/>
      <c r="Q91" s="106"/>
      <c r="R91" s="106"/>
      <c r="S91" s="106"/>
      <c r="T91" s="106"/>
      <c r="U91" s="106"/>
      <c r="V91" s="106"/>
      <c r="W91" s="106"/>
      <c r="X91" s="106"/>
      <c r="Y91" s="106"/>
      <c r="Z91" s="106"/>
      <c r="AA91" s="106"/>
      <c r="AB91" s="106"/>
      <c r="AC91" s="106"/>
      <c r="AD91" s="106"/>
      <c r="AF91" s="530"/>
      <c r="AG91" s="530"/>
      <c r="AH91" s="106"/>
      <c r="AI91" s="1265"/>
      <c r="AJ91" s="1265"/>
    </row>
    <row r="92" spans="1:36" s="114" customFormat="1" x14ac:dyDescent="0.25">
      <c r="A92" s="106"/>
      <c r="B92" s="106"/>
      <c r="C92" s="106"/>
      <c r="D92" s="106"/>
      <c r="E92" s="106"/>
      <c r="F92" s="172"/>
      <c r="G92" s="172"/>
      <c r="H92" s="106"/>
      <c r="I92" s="173"/>
      <c r="J92" s="174"/>
      <c r="K92" s="106"/>
      <c r="L92" s="106"/>
      <c r="M92" s="106"/>
      <c r="N92" s="106"/>
      <c r="O92" s="106"/>
      <c r="P92" s="106"/>
      <c r="Q92" s="106"/>
      <c r="R92" s="106"/>
      <c r="S92" s="106"/>
      <c r="T92" s="106"/>
      <c r="U92" s="106"/>
      <c r="V92" s="106"/>
      <c r="W92" s="106"/>
      <c r="X92" s="106"/>
      <c r="Y92" s="106"/>
      <c r="Z92" s="106"/>
      <c r="AA92" s="106"/>
      <c r="AB92" s="106"/>
      <c r="AC92" s="106"/>
      <c r="AD92" s="106"/>
      <c r="AF92" s="530"/>
      <c r="AG92" s="530"/>
      <c r="AH92" s="106"/>
      <c r="AI92" s="1265"/>
      <c r="AJ92" s="1265"/>
    </row>
    <row r="93" spans="1:36" s="114" customFormat="1" x14ac:dyDescent="0.25">
      <c r="A93" s="106"/>
      <c r="B93" s="106"/>
      <c r="C93" s="106"/>
      <c r="D93" s="106"/>
      <c r="E93" s="106"/>
      <c r="F93" s="106"/>
      <c r="G93" s="106"/>
      <c r="H93" s="106"/>
      <c r="I93" s="106"/>
      <c r="J93" s="174"/>
      <c r="K93" s="106"/>
      <c r="L93" s="106"/>
      <c r="M93" s="172"/>
      <c r="N93" s="106"/>
      <c r="O93" s="106"/>
      <c r="P93" s="106"/>
      <c r="Q93" s="106"/>
      <c r="R93" s="106"/>
      <c r="S93" s="106"/>
      <c r="T93" s="106"/>
      <c r="U93" s="106"/>
      <c r="V93" s="106"/>
      <c r="W93" s="106"/>
      <c r="X93" s="106"/>
      <c r="Y93" s="106"/>
      <c r="Z93" s="106"/>
      <c r="AA93" s="106"/>
      <c r="AB93" s="106"/>
      <c r="AC93" s="106"/>
      <c r="AD93" s="106"/>
      <c r="AF93" s="530"/>
      <c r="AG93" s="530"/>
      <c r="AH93" s="106"/>
      <c r="AI93" s="1265"/>
      <c r="AJ93" s="1265"/>
    </row>
    <row r="94" spans="1:36" s="114" customFormat="1" x14ac:dyDescent="0.25">
      <c r="A94" s="106"/>
      <c r="B94" s="106"/>
      <c r="C94" s="106"/>
      <c r="D94" s="106"/>
      <c r="E94" s="106"/>
      <c r="F94" s="106"/>
      <c r="G94" s="106"/>
      <c r="H94" s="106"/>
      <c r="I94" s="106"/>
      <c r="J94" s="174"/>
      <c r="K94" s="106"/>
      <c r="L94" s="106"/>
      <c r="M94" s="172"/>
      <c r="N94" s="106"/>
      <c r="O94" s="106"/>
      <c r="P94" s="106"/>
      <c r="Q94" s="106"/>
      <c r="R94" s="106"/>
      <c r="S94" s="106"/>
      <c r="T94" s="106"/>
      <c r="U94" s="106"/>
      <c r="V94" s="106"/>
      <c r="W94" s="106"/>
      <c r="X94" s="106"/>
      <c r="Y94" s="106"/>
      <c r="Z94" s="106"/>
      <c r="AA94" s="106"/>
      <c r="AB94" s="106"/>
      <c r="AC94" s="106"/>
      <c r="AD94" s="106"/>
      <c r="AF94" s="530"/>
      <c r="AG94" s="530"/>
      <c r="AH94" s="106"/>
      <c r="AI94" s="1265"/>
      <c r="AJ94" s="1265"/>
    </row>
    <row r="95" spans="1:36" s="114" customFormat="1" x14ac:dyDescent="0.25">
      <c r="A95" s="106"/>
      <c r="B95" s="106"/>
      <c r="C95" s="106"/>
      <c r="D95" s="106"/>
      <c r="E95" s="106"/>
      <c r="F95" s="106"/>
      <c r="G95" s="106"/>
      <c r="H95" s="106"/>
      <c r="I95" s="106"/>
      <c r="J95" s="106"/>
      <c r="K95" s="106"/>
      <c r="L95" s="106"/>
      <c r="M95" s="172"/>
      <c r="N95" s="106"/>
      <c r="O95" s="106"/>
      <c r="P95" s="106"/>
      <c r="Q95" s="106"/>
      <c r="R95" s="106"/>
      <c r="S95" s="106"/>
      <c r="T95" s="106"/>
      <c r="U95" s="106"/>
      <c r="V95" s="106"/>
      <c r="W95" s="106"/>
      <c r="X95" s="106"/>
      <c r="Y95" s="106"/>
      <c r="Z95" s="106"/>
      <c r="AA95" s="106"/>
      <c r="AB95" s="106"/>
      <c r="AC95" s="106"/>
      <c r="AD95" s="106"/>
      <c r="AF95" s="530"/>
      <c r="AG95" s="530"/>
      <c r="AH95" s="106"/>
      <c r="AI95" s="1265"/>
      <c r="AJ95" s="1265"/>
    </row>
    <row r="96" spans="1:36" s="114" customFormat="1" x14ac:dyDescent="0.25">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F96" s="530"/>
      <c r="AG96" s="530"/>
      <c r="AH96" s="106"/>
      <c r="AI96" s="1265"/>
      <c r="AJ96" s="1265"/>
    </row>
    <row r="97" spans="1:59" s="114" customFormat="1" x14ac:dyDescent="0.25">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F97" s="530"/>
      <c r="AG97" s="530"/>
      <c r="AH97" s="106"/>
      <c r="AI97" s="1265"/>
      <c r="AJ97" s="1265"/>
    </row>
    <row r="98" spans="1:59" s="114" customFormat="1" x14ac:dyDescent="0.25">
      <c r="A98" s="106">
        <v>2018</v>
      </c>
      <c r="B98" s="106"/>
      <c r="C98" s="106"/>
      <c r="D98" s="106"/>
      <c r="E98" s="106"/>
      <c r="F98" s="175" t="s">
        <v>44</v>
      </c>
      <c r="G98" s="175"/>
      <c r="H98" s="174" t="s">
        <v>45</v>
      </c>
      <c r="I98" s="174" t="s">
        <v>46</v>
      </c>
      <c r="J98" s="106"/>
      <c r="K98" s="106"/>
      <c r="L98" s="106"/>
      <c r="M98" s="174"/>
      <c r="N98" s="106"/>
      <c r="O98" s="106"/>
      <c r="P98" s="106"/>
      <c r="Q98" s="106"/>
      <c r="R98" s="106"/>
      <c r="S98" s="106"/>
      <c r="T98" s="106"/>
      <c r="U98" s="106"/>
      <c r="V98" s="106"/>
      <c r="W98" s="106"/>
      <c r="X98" s="106"/>
      <c r="Y98" s="106"/>
      <c r="Z98" s="106"/>
      <c r="AA98" s="106"/>
      <c r="AB98" s="106"/>
      <c r="AC98" s="106"/>
      <c r="AD98" s="106"/>
      <c r="AF98" s="530"/>
      <c r="AG98" s="530"/>
      <c r="AH98" s="106"/>
      <c r="AI98" s="1265"/>
      <c r="AJ98" s="1265"/>
    </row>
    <row r="99" spans="1:59" s="114" customFormat="1" x14ac:dyDescent="0.25">
      <c r="A99" s="106">
        <v>2019</v>
      </c>
      <c r="B99" s="106"/>
      <c r="C99" s="106"/>
      <c r="D99" s="106"/>
      <c r="E99" s="106"/>
      <c r="F99" s="172" t="s">
        <v>177</v>
      </c>
      <c r="G99" s="172"/>
      <c r="H99" s="106" t="s">
        <v>180</v>
      </c>
      <c r="I99" s="173" t="s">
        <v>47</v>
      </c>
      <c r="J99" s="174" t="s">
        <v>206</v>
      </c>
      <c r="K99" s="174" t="s">
        <v>48</v>
      </c>
      <c r="L99" s="174" t="s">
        <v>49</v>
      </c>
      <c r="M99" s="176" t="s">
        <v>212</v>
      </c>
      <c r="N99" s="174"/>
      <c r="O99" s="174"/>
      <c r="P99" s="174"/>
      <c r="Q99" s="174"/>
      <c r="R99" s="174"/>
      <c r="S99" s="174"/>
      <c r="T99" s="174"/>
      <c r="U99" s="174"/>
      <c r="V99" s="174"/>
      <c r="W99" s="174"/>
      <c r="X99" s="174"/>
      <c r="Y99" s="174"/>
      <c r="Z99" s="174"/>
      <c r="AA99" s="174"/>
      <c r="AB99" s="174"/>
      <c r="AC99" s="174"/>
      <c r="AD99" s="106"/>
      <c r="AF99" s="530"/>
      <c r="AG99" s="530"/>
      <c r="AH99" s="106"/>
      <c r="AI99" s="1265"/>
      <c r="AJ99" s="1265"/>
    </row>
    <row r="100" spans="1:59" s="114" customFormat="1" x14ac:dyDescent="0.25">
      <c r="A100" s="106">
        <v>2020</v>
      </c>
      <c r="B100" s="106"/>
      <c r="C100" s="106"/>
      <c r="D100" s="106"/>
      <c r="E100" s="106"/>
      <c r="F100" s="172" t="s">
        <v>178</v>
      </c>
      <c r="G100" s="172"/>
      <c r="H100" s="106" t="s">
        <v>181</v>
      </c>
      <c r="I100" s="173" t="s">
        <v>50</v>
      </c>
      <c r="J100" s="174" t="s">
        <v>207</v>
      </c>
      <c r="K100" s="174" t="s">
        <v>48</v>
      </c>
      <c r="L100" s="174" t="s">
        <v>49</v>
      </c>
      <c r="M100" s="177" t="s">
        <v>213</v>
      </c>
      <c r="N100" s="174"/>
      <c r="O100" s="174"/>
      <c r="P100" s="174"/>
      <c r="Q100" s="174"/>
      <c r="R100" s="174"/>
      <c r="S100" s="174"/>
      <c r="T100" s="174"/>
      <c r="U100" s="174"/>
      <c r="V100" s="174"/>
      <c r="W100" s="174"/>
      <c r="X100" s="174"/>
      <c r="Y100" s="174"/>
      <c r="Z100" s="174"/>
      <c r="AA100" s="174"/>
      <c r="AB100" s="174"/>
      <c r="AC100" s="174"/>
      <c r="AD100" s="174"/>
      <c r="AE100" s="178"/>
      <c r="AF100" s="509"/>
      <c r="AG100" s="509"/>
      <c r="AH100" s="174"/>
      <c r="AI100" s="1271"/>
      <c r="AJ100" s="1271"/>
      <c r="AK100" s="178"/>
      <c r="AL100" s="178"/>
      <c r="AM100" s="178"/>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row>
    <row r="101" spans="1:59" s="114" customFormat="1" x14ac:dyDescent="0.25">
      <c r="A101" s="106">
        <v>2021</v>
      </c>
      <c r="B101" s="106"/>
      <c r="C101" s="106"/>
      <c r="D101" s="106"/>
      <c r="E101" s="106"/>
      <c r="F101" s="172" t="s">
        <v>179</v>
      </c>
      <c r="G101" s="172"/>
      <c r="H101" s="106" t="s">
        <v>182</v>
      </c>
      <c r="I101" s="173" t="s">
        <v>51</v>
      </c>
      <c r="J101" s="174" t="s">
        <v>207</v>
      </c>
      <c r="K101" s="174" t="s">
        <v>48</v>
      </c>
      <c r="L101" s="174" t="s">
        <v>49</v>
      </c>
      <c r="M101" s="177" t="s">
        <v>214</v>
      </c>
      <c r="N101" s="174"/>
      <c r="O101" s="174"/>
      <c r="P101" s="174"/>
      <c r="Q101" s="174"/>
      <c r="R101" s="174"/>
      <c r="S101" s="174"/>
      <c r="T101" s="174"/>
      <c r="U101" s="174"/>
      <c r="V101" s="174"/>
      <c r="W101" s="174"/>
      <c r="X101" s="174"/>
      <c r="Y101" s="174"/>
      <c r="Z101" s="174"/>
      <c r="AA101" s="174"/>
      <c r="AB101" s="174"/>
      <c r="AC101" s="174"/>
      <c r="AD101" s="174"/>
      <c r="AE101" s="178"/>
      <c r="AF101" s="509"/>
      <c r="AG101" s="509"/>
      <c r="AH101" s="174"/>
      <c r="AI101" s="1271"/>
      <c r="AJ101" s="1271"/>
      <c r="AK101" s="178"/>
      <c r="AL101" s="178"/>
      <c r="AM101" s="178"/>
      <c r="AN101" s="178"/>
      <c r="AO101" s="178"/>
      <c r="AP101" s="178"/>
      <c r="AQ101" s="178"/>
      <c r="AR101" s="178"/>
      <c r="AS101" s="178"/>
      <c r="AT101" s="178"/>
      <c r="AU101" s="178"/>
      <c r="AV101" s="178"/>
      <c r="AW101" s="178"/>
      <c r="AX101" s="178"/>
      <c r="AY101" s="178"/>
      <c r="AZ101" s="178"/>
      <c r="BA101" s="178"/>
      <c r="BB101" s="178"/>
      <c r="BC101" s="178"/>
      <c r="BD101" s="178"/>
      <c r="BE101" s="178"/>
      <c r="BF101" s="178"/>
      <c r="BG101" s="178"/>
    </row>
    <row r="102" spans="1:59" s="114" customFormat="1" x14ac:dyDescent="0.25">
      <c r="A102" s="106">
        <v>2022</v>
      </c>
      <c r="B102" s="106"/>
      <c r="C102" s="106"/>
      <c r="D102" s="106"/>
      <c r="E102" s="106"/>
      <c r="F102" s="172" t="s">
        <v>183</v>
      </c>
      <c r="G102" s="172"/>
      <c r="H102" s="106" t="s">
        <v>192</v>
      </c>
      <c r="I102" s="173" t="s">
        <v>52</v>
      </c>
      <c r="J102" s="174" t="s">
        <v>208</v>
      </c>
      <c r="K102" s="174" t="s">
        <v>48</v>
      </c>
      <c r="L102" s="174" t="s">
        <v>54</v>
      </c>
      <c r="M102" s="176" t="s">
        <v>215</v>
      </c>
      <c r="N102" s="174"/>
      <c r="O102" s="174"/>
      <c r="P102" s="174"/>
      <c r="Q102" s="174"/>
      <c r="R102" s="174"/>
      <c r="S102" s="174"/>
      <c r="T102" s="174"/>
      <c r="U102" s="174"/>
      <c r="V102" s="174"/>
      <c r="W102" s="174"/>
      <c r="X102" s="174"/>
      <c r="Y102" s="174"/>
      <c r="Z102" s="174"/>
      <c r="AA102" s="174"/>
      <c r="AB102" s="174"/>
      <c r="AC102" s="174"/>
      <c r="AD102" s="174"/>
      <c r="AE102" s="178"/>
      <c r="AF102" s="509"/>
      <c r="AG102" s="509"/>
      <c r="AH102" s="174"/>
      <c r="AI102" s="1271"/>
      <c r="AJ102" s="1271"/>
      <c r="AK102" s="178"/>
      <c r="AL102" s="178"/>
      <c r="AM102" s="178"/>
      <c r="AN102" s="178"/>
      <c r="AO102" s="178"/>
      <c r="AP102" s="178"/>
      <c r="AQ102" s="178"/>
      <c r="AR102" s="178"/>
      <c r="AS102" s="178"/>
      <c r="AT102" s="178"/>
      <c r="AU102" s="178"/>
      <c r="AV102" s="178"/>
      <c r="AW102" s="178"/>
      <c r="AX102" s="178"/>
      <c r="AY102" s="178"/>
      <c r="AZ102" s="178"/>
      <c r="BA102" s="178"/>
      <c r="BB102" s="178"/>
      <c r="BC102" s="178"/>
      <c r="BD102" s="178"/>
      <c r="BE102" s="178"/>
      <c r="BF102" s="178"/>
      <c r="BG102" s="178"/>
    </row>
    <row r="103" spans="1:59" s="114" customFormat="1" x14ac:dyDescent="0.25">
      <c r="A103" s="106">
        <v>2023</v>
      </c>
      <c r="B103" s="106"/>
      <c r="C103" s="106"/>
      <c r="D103" s="106"/>
      <c r="E103" s="106"/>
      <c r="F103" s="172" t="s">
        <v>184</v>
      </c>
      <c r="G103" s="172"/>
      <c r="H103" s="106" t="s">
        <v>193</v>
      </c>
      <c r="I103" s="173" t="s">
        <v>55</v>
      </c>
      <c r="J103" s="174" t="s">
        <v>209</v>
      </c>
      <c r="K103" s="174" t="s">
        <v>48</v>
      </c>
      <c r="L103" s="174" t="s">
        <v>54</v>
      </c>
      <c r="M103" s="176" t="s">
        <v>216</v>
      </c>
      <c r="N103" s="174"/>
      <c r="O103" s="174"/>
      <c r="P103" s="174"/>
      <c r="Q103" s="174"/>
      <c r="R103" s="174"/>
      <c r="S103" s="174"/>
      <c r="T103" s="174"/>
      <c r="U103" s="174"/>
      <c r="V103" s="174"/>
      <c r="W103" s="174"/>
      <c r="X103" s="174"/>
      <c r="Y103" s="174"/>
      <c r="Z103" s="174"/>
      <c r="AA103" s="174"/>
      <c r="AB103" s="174"/>
      <c r="AC103" s="174"/>
      <c r="AD103" s="174"/>
      <c r="AE103" s="178"/>
      <c r="AF103" s="509"/>
      <c r="AG103" s="509"/>
      <c r="AH103" s="174"/>
      <c r="AI103" s="1271"/>
      <c r="AJ103" s="1271"/>
      <c r="AK103" s="178"/>
      <c r="AL103" s="178"/>
      <c r="AM103" s="178"/>
      <c r="AN103" s="178"/>
      <c r="AO103" s="178"/>
      <c r="AP103" s="178"/>
      <c r="AQ103" s="178"/>
      <c r="AR103" s="178"/>
      <c r="AS103" s="178"/>
      <c r="AT103" s="178"/>
      <c r="AU103" s="178"/>
      <c r="AV103" s="178"/>
      <c r="AW103" s="178"/>
      <c r="AX103" s="178"/>
      <c r="AY103" s="178"/>
      <c r="AZ103" s="178"/>
      <c r="BA103" s="178"/>
      <c r="BB103" s="178"/>
      <c r="BC103" s="178"/>
      <c r="BD103" s="178"/>
      <c r="BE103" s="178"/>
      <c r="BF103" s="178"/>
      <c r="BG103" s="178"/>
    </row>
    <row r="104" spans="1:59" x14ac:dyDescent="0.25">
      <c r="A104" s="106">
        <v>2024</v>
      </c>
      <c r="F104" s="172" t="s">
        <v>185</v>
      </c>
      <c r="G104" s="172"/>
      <c r="H104" s="106" t="s">
        <v>194</v>
      </c>
      <c r="I104" s="173" t="s">
        <v>56</v>
      </c>
      <c r="J104" s="174" t="s">
        <v>209</v>
      </c>
      <c r="K104" s="174" t="s">
        <v>48</v>
      </c>
      <c r="L104" s="174" t="s">
        <v>54</v>
      </c>
      <c r="M104" s="176" t="s">
        <v>226</v>
      </c>
      <c r="N104" s="174"/>
      <c r="O104" s="174"/>
      <c r="P104" s="174"/>
      <c r="Q104" s="174"/>
      <c r="R104" s="174"/>
      <c r="S104" s="174"/>
      <c r="T104" s="174"/>
      <c r="U104" s="174"/>
      <c r="V104" s="174"/>
      <c r="W104" s="174"/>
      <c r="X104" s="174"/>
      <c r="Y104" s="174"/>
      <c r="Z104" s="174"/>
      <c r="AA104" s="174"/>
      <c r="AB104" s="174"/>
      <c r="AC104" s="174"/>
      <c r="AD104" s="174"/>
      <c r="AE104" s="174"/>
      <c r="AF104" s="509"/>
      <c r="AG104" s="509"/>
      <c r="AH104" s="174"/>
      <c r="AI104" s="509"/>
      <c r="AJ104" s="509"/>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row>
    <row r="105" spans="1:59" x14ac:dyDescent="0.25">
      <c r="A105" s="106">
        <v>2025</v>
      </c>
      <c r="F105" s="172" t="s">
        <v>186</v>
      </c>
      <c r="G105" s="172"/>
      <c r="H105" s="106" t="s">
        <v>195</v>
      </c>
      <c r="I105" s="173" t="s">
        <v>57</v>
      </c>
      <c r="J105" s="174" t="s">
        <v>209</v>
      </c>
      <c r="K105" s="174" t="s">
        <v>48</v>
      </c>
      <c r="L105" s="174" t="s">
        <v>54</v>
      </c>
      <c r="M105" s="176" t="s">
        <v>217</v>
      </c>
      <c r="N105" s="174"/>
      <c r="O105" s="174"/>
      <c r="P105" s="174"/>
      <c r="Q105" s="174"/>
      <c r="R105" s="174"/>
      <c r="S105" s="174"/>
      <c r="T105" s="174"/>
      <c r="U105" s="174"/>
      <c r="V105" s="174"/>
      <c r="W105" s="174"/>
      <c r="X105" s="174"/>
      <c r="Y105" s="174"/>
      <c r="Z105" s="174"/>
      <c r="AA105" s="174"/>
      <c r="AB105" s="174"/>
      <c r="AC105" s="174"/>
      <c r="AD105" s="174"/>
      <c r="AE105" s="174"/>
      <c r="AF105" s="509"/>
      <c r="AG105" s="509"/>
      <c r="AH105" s="174"/>
      <c r="AI105" s="509"/>
      <c r="AJ105" s="509"/>
      <c r="AK105" s="174"/>
      <c r="AL105" s="174"/>
      <c r="AM105" s="174"/>
      <c r="AN105" s="174"/>
      <c r="AO105" s="174"/>
      <c r="AP105" s="174"/>
      <c r="AQ105" s="174"/>
      <c r="AR105" s="174"/>
      <c r="AS105" s="174"/>
      <c r="AT105" s="174"/>
      <c r="AU105" s="174"/>
      <c r="AV105" s="174"/>
      <c r="AW105" s="174"/>
      <c r="AX105" s="174"/>
      <c r="AY105" s="174"/>
      <c r="AZ105" s="174"/>
      <c r="BA105" s="174"/>
      <c r="BB105" s="174"/>
      <c r="BC105" s="174"/>
      <c r="BD105" s="174"/>
      <c r="BE105" s="174"/>
      <c r="BF105" s="174"/>
      <c r="BG105" s="174"/>
    </row>
    <row r="106" spans="1:59" x14ac:dyDescent="0.25">
      <c r="A106" s="106">
        <v>2026</v>
      </c>
      <c r="F106" s="172" t="s">
        <v>187</v>
      </c>
      <c r="G106" s="172"/>
      <c r="H106" s="106" t="s">
        <v>196</v>
      </c>
      <c r="I106" s="173" t="s">
        <v>58</v>
      </c>
      <c r="J106" s="174" t="s">
        <v>208</v>
      </c>
      <c r="K106" s="174" t="s">
        <v>48</v>
      </c>
      <c r="L106" s="174" t="s">
        <v>54</v>
      </c>
      <c r="M106" s="176" t="s">
        <v>218</v>
      </c>
      <c r="N106" s="174"/>
      <c r="O106" s="174"/>
      <c r="P106" s="174"/>
      <c r="Q106" s="174"/>
      <c r="R106" s="174"/>
      <c r="S106" s="174"/>
      <c r="T106" s="174"/>
      <c r="U106" s="174"/>
      <c r="V106" s="174"/>
      <c r="W106" s="174"/>
      <c r="X106" s="174"/>
      <c r="Y106" s="174"/>
      <c r="Z106" s="174"/>
      <c r="AA106" s="174"/>
      <c r="AB106" s="174"/>
      <c r="AC106" s="174"/>
      <c r="AD106" s="174"/>
      <c r="AE106" s="174"/>
      <c r="AF106" s="509"/>
      <c r="AG106" s="509"/>
      <c r="AH106" s="174"/>
      <c r="AI106" s="509"/>
      <c r="AJ106" s="509"/>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row>
    <row r="107" spans="1:59" x14ac:dyDescent="0.25">
      <c r="A107" s="106">
        <v>2027</v>
      </c>
      <c r="F107" s="172" t="s">
        <v>188</v>
      </c>
      <c r="G107" s="172"/>
      <c r="H107" s="106" t="s">
        <v>197</v>
      </c>
      <c r="I107" s="173" t="s">
        <v>60</v>
      </c>
      <c r="J107" s="174" t="s">
        <v>207</v>
      </c>
      <c r="K107" s="174" t="s">
        <v>48</v>
      </c>
      <c r="L107" s="172" t="s">
        <v>204</v>
      </c>
      <c r="M107" s="176" t="s">
        <v>219</v>
      </c>
      <c r="N107" s="174"/>
      <c r="O107" s="174"/>
      <c r="P107" s="174"/>
      <c r="Q107" s="174"/>
      <c r="R107" s="174"/>
      <c r="S107" s="174"/>
      <c r="T107" s="174"/>
      <c r="U107" s="174"/>
      <c r="V107" s="174"/>
      <c r="W107" s="174"/>
      <c r="X107" s="174"/>
      <c r="Y107" s="174"/>
      <c r="Z107" s="174"/>
      <c r="AA107" s="174"/>
      <c r="AB107" s="174"/>
      <c r="AC107" s="174"/>
      <c r="AD107" s="174"/>
      <c r="AE107" s="174"/>
      <c r="AF107" s="509"/>
      <c r="AG107" s="509"/>
      <c r="AH107" s="174"/>
      <c r="AI107" s="509"/>
      <c r="AJ107" s="509"/>
      <c r="AK107" s="174"/>
      <c r="AL107" s="174"/>
      <c r="AM107" s="174"/>
      <c r="AN107" s="174"/>
      <c r="AO107" s="174"/>
      <c r="AP107" s="174"/>
      <c r="AQ107" s="174"/>
      <c r="AR107" s="174"/>
      <c r="AS107" s="174"/>
      <c r="AT107" s="174"/>
      <c r="AU107" s="174"/>
      <c r="AV107" s="174"/>
      <c r="AW107" s="174"/>
      <c r="AX107" s="174"/>
      <c r="AY107" s="174"/>
      <c r="AZ107" s="174"/>
      <c r="BA107" s="174"/>
      <c r="BB107" s="174"/>
      <c r="BC107" s="174"/>
      <c r="BD107" s="174"/>
      <c r="BE107" s="174"/>
      <c r="BF107" s="174"/>
      <c r="BG107" s="174"/>
    </row>
    <row r="108" spans="1:59" x14ac:dyDescent="0.25">
      <c r="A108" s="106">
        <v>2028</v>
      </c>
      <c r="F108" s="172" t="s">
        <v>59</v>
      </c>
      <c r="G108" s="172"/>
      <c r="H108" s="106" t="s">
        <v>198</v>
      </c>
      <c r="I108" s="173" t="s">
        <v>61</v>
      </c>
      <c r="J108" s="174" t="s">
        <v>62</v>
      </c>
      <c r="K108" s="174" t="s">
        <v>48</v>
      </c>
      <c r="L108" s="172" t="s">
        <v>204</v>
      </c>
      <c r="M108" s="176" t="s">
        <v>220</v>
      </c>
      <c r="N108" s="174"/>
      <c r="O108" s="174"/>
      <c r="P108" s="174"/>
      <c r="Q108" s="174"/>
      <c r="R108" s="174"/>
      <c r="S108" s="174"/>
      <c r="T108" s="174"/>
      <c r="U108" s="174"/>
      <c r="V108" s="174"/>
      <c r="W108" s="174"/>
      <c r="X108" s="174"/>
      <c r="Y108" s="174"/>
      <c r="Z108" s="174"/>
      <c r="AA108" s="174"/>
      <c r="AB108" s="174"/>
      <c r="AC108" s="174"/>
      <c r="AD108" s="174"/>
      <c r="AE108" s="174"/>
      <c r="AF108" s="509"/>
      <c r="AG108" s="509"/>
      <c r="AH108" s="174"/>
      <c r="AI108" s="509"/>
      <c r="AJ108" s="509"/>
      <c r="AK108" s="174"/>
      <c r="AL108" s="174"/>
      <c r="AM108" s="174"/>
      <c r="AN108" s="174"/>
      <c r="AO108" s="174"/>
      <c r="AP108" s="174"/>
      <c r="AQ108" s="174"/>
      <c r="AR108" s="174"/>
      <c r="AS108" s="174"/>
      <c r="AT108" s="174"/>
      <c r="AU108" s="174"/>
      <c r="AV108" s="174"/>
      <c r="AW108" s="174"/>
      <c r="AX108" s="174"/>
      <c r="AY108" s="174"/>
      <c r="AZ108" s="174"/>
      <c r="BA108" s="174"/>
      <c r="BB108" s="174"/>
      <c r="BC108" s="174"/>
      <c r="BD108" s="174"/>
      <c r="BE108" s="174"/>
      <c r="BF108" s="174"/>
      <c r="BG108" s="174"/>
    </row>
    <row r="109" spans="1:59" x14ac:dyDescent="0.25">
      <c r="F109" s="172" t="s">
        <v>189</v>
      </c>
      <c r="G109" s="172"/>
      <c r="H109" s="106" t="s">
        <v>199</v>
      </c>
      <c r="I109" s="173" t="s">
        <v>63</v>
      </c>
      <c r="J109" s="174" t="s">
        <v>207</v>
      </c>
      <c r="K109" s="174" t="s">
        <v>48</v>
      </c>
      <c r="L109" s="172" t="s">
        <v>204</v>
      </c>
      <c r="M109" s="176" t="s">
        <v>221</v>
      </c>
      <c r="N109" s="174"/>
      <c r="O109" s="174"/>
      <c r="P109" s="174"/>
      <c r="Q109" s="174"/>
      <c r="R109" s="174"/>
      <c r="S109" s="174"/>
      <c r="T109" s="174"/>
      <c r="U109" s="174"/>
      <c r="V109" s="174"/>
      <c r="W109" s="174"/>
      <c r="X109" s="174"/>
      <c r="Y109" s="174"/>
      <c r="Z109" s="174"/>
      <c r="AA109" s="174"/>
      <c r="AB109" s="174"/>
      <c r="AC109" s="174"/>
      <c r="AD109" s="174"/>
      <c r="AE109" s="174"/>
      <c r="AF109" s="509"/>
      <c r="AG109" s="509"/>
      <c r="AH109" s="174"/>
      <c r="AI109" s="509"/>
      <c r="AJ109" s="509"/>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row>
    <row r="110" spans="1:59" x14ac:dyDescent="0.25">
      <c r="F110" s="172" t="s">
        <v>190</v>
      </c>
      <c r="G110" s="172"/>
      <c r="H110" s="106" t="s">
        <v>200</v>
      </c>
      <c r="I110" s="173" t="s">
        <v>64</v>
      </c>
      <c r="J110" s="174" t="s">
        <v>207</v>
      </c>
      <c r="K110" s="174" t="s">
        <v>48</v>
      </c>
      <c r="L110" s="172" t="s">
        <v>204</v>
      </c>
      <c r="M110" s="176" t="s">
        <v>222</v>
      </c>
      <c r="N110" s="174"/>
      <c r="O110" s="174"/>
      <c r="P110" s="174"/>
      <c r="Q110" s="174"/>
      <c r="R110" s="174"/>
      <c r="S110" s="174"/>
      <c r="T110" s="174"/>
      <c r="U110" s="174"/>
      <c r="V110" s="174"/>
      <c r="W110" s="174"/>
      <c r="X110" s="174"/>
      <c r="Y110" s="174"/>
      <c r="Z110" s="174"/>
      <c r="AA110" s="174"/>
      <c r="AB110" s="174"/>
      <c r="AC110" s="174"/>
      <c r="AD110" s="174"/>
      <c r="AE110" s="174"/>
      <c r="AF110" s="509"/>
      <c r="AG110" s="509"/>
      <c r="AH110" s="174"/>
      <c r="AI110" s="509"/>
      <c r="AJ110" s="509"/>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row>
    <row r="111" spans="1:59" x14ac:dyDescent="0.25">
      <c r="F111" s="172" t="s">
        <v>191</v>
      </c>
      <c r="G111" s="172"/>
      <c r="H111" s="106" t="s">
        <v>201</v>
      </c>
      <c r="I111" s="173" t="s">
        <v>65</v>
      </c>
      <c r="J111" s="174" t="s">
        <v>207</v>
      </c>
      <c r="K111" s="174" t="s">
        <v>48</v>
      </c>
      <c r="L111" s="172" t="s">
        <v>204</v>
      </c>
      <c r="M111" s="176" t="s">
        <v>223</v>
      </c>
      <c r="N111" s="174"/>
      <c r="O111" s="174"/>
      <c r="P111" s="174"/>
      <c r="Q111" s="174"/>
      <c r="R111" s="174"/>
      <c r="S111" s="174"/>
      <c r="T111" s="174"/>
      <c r="U111" s="174"/>
      <c r="V111" s="174"/>
      <c r="W111" s="174"/>
      <c r="X111" s="174"/>
      <c r="Y111" s="174"/>
      <c r="Z111" s="174"/>
      <c r="AA111" s="174"/>
      <c r="AB111" s="174"/>
      <c r="AC111" s="174"/>
      <c r="AD111" s="174"/>
      <c r="AE111" s="174"/>
      <c r="AF111" s="509"/>
      <c r="AG111" s="509"/>
      <c r="AH111" s="174"/>
      <c r="AI111" s="509"/>
      <c r="AJ111" s="509"/>
      <c r="AK111" s="174"/>
      <c r="AL111" s="174"/>
      <c r="AM111" s="174"/>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row>
    <row r="112" spans="1:59" x14ac:dyDescent="0.25">
      <c r="F112" s="172" t="s">
        <v>202</v>
      </c>
      <c r="G112" s="172"/>
      <c r="H112" s="106" t="s">
        <v>203</v>
      </c>
      <c r="I112" s="173" t="s">
        <v>66</v>
      </c>
      <c r="J112" s="174" t="s">
        <v>225</v>
      </c>
      <c r="K112" s="174" t="s">
        <v>48</v>
      </c>
      <c r="L112" s="174" t="s">
        <v>205</v>
      </c>
      <c r="M112" s="172" t="s">
        <v>224</v>
      </c>
      <c r="N112" s="174"/>
      <c r="O112" s="174"/>
      <c r="P112" s="174"/>
      <c r="Q112" s="174"/>
      <c r="R112" s="174"/>
      <c r="S112" s="174"/>
      <c r="T112" s="174"/>
      <c r="U112" s="174"/>
      <c r="V112" s="174"/>
      <c r="W112" s="174"/>
      <c r="X112" s="174"/>
      <c r="Y112" s="174"/>
      <c r="Z112" s="174"/>
      <c r="AA112" s="174"/>
      <c r="AB112" s="174"/>
      <c r="AC112" s="174"/>
      <c r="AD112" s="174"/>
      <c r="AE112" s="174"/>
      <c r="AF112" s="509"/>
      <c r="AG112" s="509"/>
      <c r="AH112" s="174"/>
      <c r="AI112" s="509"/>
      <c r="AJ112" s="509"/>
      <c r="AK112" s="174"/>
      <c r="AL112" s="174"/>
      <c r="AM112" s="174"/>
      <c r="AN112" s="174"/>
      <c r="AO112" s="174"/>
      <c r="AP112" s="174"/>
      <c r="AQ112" s="174"/>
      <c r="AR112" s="174"/>
      <c r="AS112" s="174"/>
      <c r="AT112" s="174"/>
      <c r="AU112" s="174"/>
      <c r="AV112" s="174"/>
      <c r="AW112" s="174"/>
      <c r="AX112" s="174"/>
      <c r="AY112" s="174"/>
      <c r="AZ112" s="174"/>
      <c r="BA112" s="174"/>
      <c r="BB112" s="174"/>
      <c r="BC112" s="174"/>
      <c r="BD112" s="174"/>
      <c r="BE112" s="174"/>
      <c r="BF112" s="174"/>
      <c r="BG112" s="174"/>
    </row>
    <row r="113" spans="6:59" x14ac:dyDescent="0.25">
      <c r="F113" s="179"/>
      <c r="G113" s="179"/>
      <c r="M113" s="172"/>
      <c r="N113" s="174"/>
      <c r="O113" s="174"/>
      <c r="P113" s="174"/>
      <c r="Q113" s="174"/>
      <c r="R113" s="174"/>
      <c r="S113" s="174"/>
      <c r="T113" s="174"/>
      <c r="U113" s="174"/>
      <c r="V113" s="174"/>
      <c r="W113" s="174"/>
      <c r="X113" s="174"/>
      <c r="Y113" s="174"/>
      <c r="Z113" s="174"/>
      <c r="AA113" s="174"/>
      <c r="AB113" s="174"/>
      <c r="AC113" s="174"/>
      <c r="AD113" s="174"/>
      <c r="AE113" s="174"/>
      <c r="AF113" s="509"/>
      <c r="AG113" s="509"/>
      <c r="AH113" s="174"/>
      <c r="AI113" s="509"/>
      <c r="AJ113" s="509"/>
      <c r="AK113" s="174"/>
      <c r="AL113" s="174"/>
      <c r="AM113" s="174"/>
      <c r="AN113" s="174"/>
      <c r="AO113" s="174"/>
      <c r="AP113" s="174"/>
      <c r="AQ113" s="174"/>
      <c r="AR113" s="174"/>
      <c r="AS113" s="174"/>
      <c r="AT113" s="174"/>
      <c r="AU113" s="174"/>
      <c r="AV113" s="174"/>
      <c r="AW113" s="174"/>
      <c r="AX113" s="174"/>
      <c r="AY113" s="174"/>
      <c r="AZ113" s="174"/>
      <c r="BA113" s="174"/>
      <c r="BB113" s="174"/>
      <c r="BC113" s="174"/>
      <c r="BD113" s="174"/>
      <c r="BE113" s="174"/>
      <c r="BF113" s="174"/>
      <c r="BG113" s="174"/>
    </row>
    <row r="114" spans="6:59" x14ac:dyDescent="0.25">
      <c r="F114" s="179"/>
      <c r="G114" s="179"/>
      <c r="M114" s="172"/>
      <c r="N114" s="174"/>
      <c r="O114" s="174"/>
      <c r="P114" s="174"/>
      <c r="Q114" s="174"/>
      <c r="R114" s="174"/>
      <c r="S114" s="174"/>
      <c r="T114" s="174"/>
      <c r="U114" s="174"/>
      <c r="V114" s="174"/>
      <c r="W114" s="174"/>
      <c r="X114" s="174"/>
      <c r="Y114" s="174"/>
      <c r="Z114" s="174"/>
      <c r="AA114" s="174"/>
      <c r="AB114" s="174"/>
      <c r="AC114" s="174"/>
      <c r="AD114" s="174"/>
      <c r="AE114" s="174"/>
      <c r="AF114" s="509"/>
      <c r="AG114" s="509"/>
      <c r="AH114" s="174"/>
      <c r="AI114" s="509"/>
      <c r="AJ114" s="509"/>
      <c r="AK114" s="174"/>
      <c r="AL114" s="174"/>
      <c r="AM114" s="174"/>
      <c r="AN114" s="174"/>
      <c r="AO114" s="174"/>
      <c r="AP114" s="174"/>
      <c r="AQ114" s="174"/>
      <c r="AR114" s="174"/>
      <c r="AS114" s="174"/>
      <c r="AT114" s="174"/>
      <c r="AU114" s="174"/>
      <c r="AV114" s="174"/>
      <c r="AW114" s="174"/>
      <c r="AX114" s="174"/>
      <c r="AY114" s="174"/>
      <c r="AZ114" s="174"/>
      <c r="BA114" s="174"/>
      <c r="BB114" s="174"/>
      <c r="BC114" s="174"/>
      <c r="BD114" s="174"/>
      <c r="BE114" s="174"/>
      <c r="BF114" s="174"/>
      <c r="BG114" s="174"/>
    </row>
    <row r="115" spans="6:59" x14ac:dyDescent="0.25">
      <c r="F115" s="175" t="s">
        <v>102</v>
      </c>
      <c r="G115" s="175"/>
      <c r="M115" s="172"/>
      <c r="N115" s="174"/>
      <c r="O115" s="174"/>
      <c r="P115" s="174"/>
      <c r="Q115" s="174"/>
      <c r="R115" s="174"/>
      <c r="S115" s="174"/>
      <c r="T115" s="174"/>
      <c r="U115" s="174"/>
      <c r="V115" s="174"/>
      <c r="W115" s="174"/>
      <c r="X115" s="174"/>
      <c r="Y115" s="174"/>
      <c r="Z115" s="174"/>
      <c r="AA115" s="174"/>
      <c r="AB115" s="174"/>
      <c r="AC115" s="174"/>
      <c r="AD115" s="174"/>
      <c r="AE115" s="174"/>
      <c r="AF115" s="509"/>
      <c r="AG115" s="509"/>
      <c r="AH115" s="174"/>
      <c r="AI115" s="509"/>
      <c r="AJ115" s="509"/>
      <c r="AK115" s="174"/>
      <c r="AL115" s="174"/>
      <c r="AM115" s="174"/>
      <c r="AN115" s="174"/>
      <c r="AO115" s="174"/>
      <c r="AP115" s="174"/>
      <c r="AQ115" s="174"/>
      <c r="AR115" s="174"/>
      <c r="AS115" s="174"/>
      <c r="AT115" s="174"/>
      <c r="AU115" s="174"/>
      <c r="AV115" s="174"/>
      <c r="AW115" s="174"/>
      <c r="AX115" s="174"/>
      <c r="AY115" s="174"/>
      <c r="AZ115" s="174"/>
      <c r="BA115" s="174"/>
      <c r="BB115" s="174"/>
      <c r="BC115" s="174"/>
      <c r="BD115" s="174"/>
      <c r="BE115" s="174"/>
      <c r="BF115" s="174"/>
      <c r="BG115" s="174"/>
    </row>
    <row r="116" spans="6:59" x14ac:dyDescent="0.25">
      <c r="F116" s="174" t="s">
        <v>43</v>
      </c>
      <c r="G116" s="174"/>
      <c r="J116" s="174"/>
      <c r="K116" s="174"/>
      <c r="L116" s="174"/>
      <c r="M116" s="172"/>
      <c r="N116" s="174"/>
      <c r="O116" s="174"/>
      <c r="P116" s="174"/>
      <c r="Q116" s="174"/>
      <c r="R116" s="174"/>
      <c r="S116" s="174"/>
      <c r="T116" s="174"/>
      <c r="U116" s="174"/>
      <c r="V116" s="174"/>
      <c r="W116" s="174"/>
      <c r="X116" s="174"/>
      <c r="Y116" s="174"/>
      <c r="Z116" s="174"/>
      <c r="AA116" s="174"/>
      <c r="AB116" s="174"/>
      <c r="AC116" s="174"/>
      <c r="AD116" s="174"/>
      <c r="AE116" s="174"/>
      <c r="AF116" s="509"/>
      <c r="AG116" s="509"/>
      <c r="AH116" s="174"/>
      <c r="AI116" s="509"/>
      <c r="AJ116" s="509"/>
      <c r="AK116" s="174"/>
      <c r="AL116" s="174"/>
      <c r="AM116" s="174"/>
      <c r="AN116" s="174"/>
      <c r="AO116" s="174"/>
      <c r="AP116" s="174"/>
      <c r="AQ116" s="174"/>
      <c r="AR116" s="174"/>
      <c r="AS116" s="174"/>
      <c r="AT116" s="174"/>
      <c r="AU116" s="174"/>
      <c r="AV116" s="174"/>
      <c r="AW116" s="174"/>
      <c r="AX116" s="174"/>
      <c r="AY116" s="174"/>
      <c r="AZ116" s="174"/>
      <c r="BA116" s="174"/>
      <c r="BB116" s="174"/>
      <c r="BC116" s="174"/>
      <c r="BD116" s="174"/>
      <c r="BE116" s="174"/>
      <c r="BF116" s="174"/>
      <c r="BG116" s="174"/>
    </row>
    <row r="117" spans="6:59" x14ac:dyDescent="0.25">
      <c r="F117" s="174" t="s">
        <v>103</v>
      </c>
      <c r="G117" s="174"/>
      <c r="J117" s="174"/>
      <c r="K117" s="174"/>
      <c r="L117" s="174"/>
      <c r="M117" s="172"/>
      <c r="N117" s="174"/>
    </row>
    <row r="118" spans="6:59" x14ac:dyDescent="0.25">
      <c r="F118" s="174" t="s">
        <v>41</v>
      </c>
      <c r="G118" s="174"/>
      <c r="I118" s="175"/>
      <c r="M118" s="172"/>
    </row>
    <row r="119" spans="6:59" x14ac:dyDescent="0.25">
      <c r="F119" s="174"/>
      <c r="G119" s="174"/>
      <c r="I119" s="172"/>
      <c r="M119" s="172"/>
    </row>
    <row r="120" spans="6:59" x14ac:dyDescent="0.25">
      <c r="F120" s="175" t="s">
        <v>104</v>
      </c>
      <c r="G120" s="175"/>
      <c r="H120" s="172"/>
      <c r="I120" s="172"/>
      <c r="J120" s="172"/>
      <c r="M120" s="172"/>
    </row>
    <row r="121" spans="6:59" x14ac:dyDescent="0.25">
      <c r="F121" s="174" t="s">
        <v>39</v>
      </c>
      <c r="G121" s="174"/>
      <c r="H121" s="180"/>
      <c r="I121" s="172"/>
      <c r="J121" s="180"/>
      <c r="M121" s="172"/>
    </row>
    <row r="122" spans="6:59" x14ac:dyDescent="0.25">
      <c r="F122" s="174" t="s">
        <v>42</v>
      </c>
      <c r="G122" s="174"/>
      <c r="H122" s="172"/>
      <c r="I122" s="175"/>
      <c r="J122" s="172"/>
      <c r="M122" s="172"/>
    </row>
    <row r="123" spans="6:59" x14ac:dyDescent="0.25">
      <c r="F123" s="175"/>
      <c r="G123" s="175"/>
      <c r="H123" s="172"/>
      <c r="I123" s="172"/>
      <c r="J123" s="172"/>
      <c r="M123" s="172"/>
    </row>
    <row r="124" spans="6:59" x14ac:dyDescent="0.25">
      <c r="F124" s="175" t="s">
        <v>105</v>
      </c>
      <c r="G124" s="175"/>
      <c r="H124" s="172"/>
      <c r="I124" s="172"/>
      <c r="J124" s="172"/>
      <c r="M124" s="172"/>
    </row>
    <row r="125" spans="6:59" x14ac:dyDescent="0.25">
      <c r="H125" s="172"/>
      <c r="I125" s="172"/>
      <c r="J125" s="172"/>
      <c r="M125" s="172"/>
    </row>
    <row r="126" spans="6:59" x14ac:dyDescent="0.25">
      <c r="F126" s="174" t="s">
        <v>40</v>
      </c>
      <c r="G126" s="174"/>
      <c r="H126" s="172"/>
      <c r="I126" s="172"/>
      <c r="J126" s="172"/>
      <c r="M126" s="172"/>
    </row>
    <row r="127" spans="6:59" x14ac:dyDescent="0.25">
      <c r="F127" s="174" t="s">
        <v>106</v>
      </c>
      <c r="G127" s="174"/>
      <c r="H127" s="172"/>
      <c r="I127" s="172"/>
      <c r="J127" s="172"/>
      <c r="M127" s="172"/>
    </row>
    <row r="128" spans="6:59" x14ac:dyDescent="0.25">
      <c r="F128" s="174" t="s">
        <v>242</v>
      </c>
      <c r="G128" s="172"/>
      <c r="H128" s="172"/>
      <c r="I128" s="172"/>
      <c r="J128" s="172"/>
      <c r="M128" s="172"/>
    </row>
    <row r="129" spans="2:13" x14ac:dyDescent="0.25">
      <c r="F129" s="172"/>
      <c r="G129" s="172"/>
      <c r="H129" s="172"/>
      <c r="I129" s="172"/>
      <c r="J129" s="172"/>
      <c r="M129" s="172"/>
    </row>
    <row r="130" spans="2:13" ht="17.25" x14ac:dyDescent="0.25">
      <c r="B130" s="106">
        <v>1</v>
      </c>
      <c r="F130" s="303" t="s">
        <v>593</v>
      </c>
      <c r="G130" s="174"/>
      <c r="H130" s="172"/>
      <c r="I130" s="172"/>
      <c r="J130" s="172"/>
      <c r="M130" s="172"/>
    </row>
    <row r="131" spans="2:13" ht="17.25" x14ac:dyDescent="0.25">
      <c r="B131" s="106">
        <v>2</v>
      </c>
      <c r="F131" s="303" t="s">
        <v>594</v>
      </c>
      <c r="G131" s="174"/>
      <c r="H131" s="172"/>
      <c r="I131" s="172"/>
      <c r="J131" s="172"/>
      <c r="M131" s="172"/>
    </row>
    <row r="132" spans="2:13" ht="17.25" x14ac:dyDescent="0.25">
      <c r="B132" s="106">
        <v>3</v>
      </c>
      <c r="F132" s="303" t="s">
        <v>595</v>
      </c>
      <c r="G132" s="174"/>
      <c r="M132" s="172"/>
    </row>
    <row r="133" spans="2:13" ht="17.25" x14ac:dyDescent="0.25">
      <c r="B133" s="106">
        <v>4</v>
      </c>
      <c r="F133" s="303" t="s">
        <v>596</v>
      </c>
      <c r="G133" s="174"/>
      <c r="M133" s="172"/>
    </row>
    <row r="134" spans="2:13" ht="17.25" x14ac:dyDescent="0.25">
      <c r="B134" s="106">
        <v>5</v>
      </c>
      <c r="F134" s="303" t="s">
        <v>211</v>
      </c>
      <c r="G134" s="174"/>
      <c r="M134" s="172"/>
    </row>
    <row r="135" spans="2:13" ht="17.25" x14ac:dyDescent="0.25">
      <c r="B135" s="106">
        <v>6</v>
      </c>
      <c r="F135" s="303" t="s">
        <v>597</v>
      </c>
      <c r="G135" s="174"/>
      <c r="M135" s="172"/>
    </row>
    <row r="136" spans="2:13" ht="17.25" x14ac:dyDescent="0.25">
      <c r="B136" s="106">
        <v>7</v>
      </c>
      <c r="F136" s="303" t="s">
        <v>598</v>
      </c>
      <c r="G136" s="174"/>
      <c r="M136" s="172"/>
    </row>
    <row r="137" spans="2:13" x14ac:dyDescent="0.25">
      <c r="B137" s="181"/>
      <c r="C137" s="181"/>
      <c r="D137" s="181"/>
      <c r="E137" s="181"/>
      <c r="F137" s="177"/>
      <c r="G137" s="177"/>
      <c r="M137" s="172"/>
    </row>
    <row r="138" spans="2:13" x14ac:dyDescent="0.25">
      <c r="B138" s="181"/>
      <c r="C138" s="181"/>
      <c r="D138" s="181"/>
      <c r="E138" s="181"/>
      <c r="F138" s="177"/>
      <c r="G138" s="177"/>
      <c r="M138" s="172"/>
    </row>
    <row r="139" spans="2:13" x14ac:dyDescent="0.25">
      <c r="B139" s="181"/>
      <c r="C139" s="181"/>
      <c r="D139" s="181"/>
      <c r="E139" s="181"/>
      <c r="F139" s="177"/>
      <c r="G139" s="177"/>
      <c r="M139" s="172"/>
    </row>
    <row r="140" spans="2:13" x14ac:dyDescent="0.25">
      <c r="F140" s="174"/>
      <c r="G140" s="174"/>
      <c r="M140" s="172"/>
    </row>
    <row r="141" spans="2:13" x14ac:dyDescent="0.25">
      <c r="F141" s="174"/>
      <c r="G141" s="174"/>
      <c r="M141" s="172"/>
    </row>
    <row r="142" spans="2:13" x14ac:dyDescent="0.25">
      <c r="F142" s="174"/>
      <c r="G142" s="174"/>
      <c r="M142" s="172"/>
    </row>
    <row r="143" spans="2:13" x14ac:dyDescent="0.25">
      <c r="F143" s="174"/>
      <c r="G143" s="174"/>
      <c r="M143" s="172"/>
    </row>
    <row r="144" spans="2:13" x14ac:dyDescent="0.25">
      <c r="F144" s="174"/>
      <c r="G144" s="174"/>
      <c r="M144" s="172"/>
    </row>
    <row r="145" spans="6:13" x14ac:dyDescent="0.25">
      <c r="F145" s="174"/>
      <c r="G145" s="174"/>
      <c r="M145" s="172"/>
    </row>
    <row r="146" spans="6:13" x14ac:dyDescent="0.25">
      <c r="F146" s="174"/>
      <c r="G146" s="174"/>
      <c r="M146" s="172"/>
    </row>
    <row r="147" spans="6:13" x14ac:dyDescent="0.25">
      <c r="F147" s="174"/>
      <c r="G147" s="174"/>
      <c r="M147" s="172"/>
    </row>
    <row r="148" spans="6:13" x14ac:dyDescent="0.25">
      <c r="F148" s="174"/>
      <c r="G148" s="174"/>
      <c r="M148" s="172"/>
    </row>
    <row r="149" spans="6:13" x14ac:dyDescent="0.25">
      <c r="F149" s="174"/>
      <c r="G149" s="174"/>
      <c r="M149" s="172"/>
    </row>
    <row r="150" spans="6:13" x14ac:dyDescent="0.25">
      <c r="F150" s="174"/>
      <c r="G150" s="174"/>
      <c r="M150" s="172"/>
    </row>
    <row r="151" spans="6:13" x14ac:dyDescent="0.25">
      <c r="F151" s="174"/>
      <c r="G151" s="174"/>
      <c r="M151" s="172"/>
    </row>
    <row r="152" spans="6:13" x14ac:dyDescent="0.25">
      <c r="F152" s="174"/>
      <c r="G152" s="174"/>
      <c r="M152" s="172"/>
    </row>
    <row r="153" spans="6:13" x14ac:dyDescent="0.25">
      <c r="F153" s="174"/>
      <c r="G153" s="174"/>
      <c r="M153" s="172"/>
    </row>
    <row r="154" spans="6:13" x14ac:dyDescent="0.25">
      <c r="F154" s="174"/>
      <c r="G154" s="174"/>
    </row>
    <row r="155" spans="6:13" x14ac:dyDescent="0.25">
      <c r="F155" s="174"/>
      <c r="G155" s="174"/>
    </row>
    <row r="156" spans="6:13" x14ac:dyDescent="0.25">
      <c r="F156" s="174"/>
      <c r="G156" s="174"/>
    </row>
    <row r="157" spans="6:13" x14ac:dyDescent="0.25">
      <c r="F157" s="174"/>
      <c r="G157" s="174"/>
    </row>
    <row r="158" spans="6:13" x14ac:dyDescent="0.25">
      <c r="F158" s="174"/>
      <c r="G158" s="174"/>
    </row>
    <row r="159" spans="6:13" x14ac:dyDescent="0.25">
      <c r="F159" s="174"/>
      <c r="G159" s="174"/>
    </row>
    <row r="160" spans="6:13" x14ac:dyDescent="0.25">
      <c r="F160" s="174"/>
      <c r="G160" s="174"/>
    </row>
    <row r="161" spans="6:7" x14ac:dyDescent="0.25">
      <c r="F161" s="174"/>
      <c r="G161" s="174"/>
    </row>
    <row r="162" spans="6:7" x14ac:dyDescent="0.25">
      <c r="F162" s="174"/>
      <c r="G162" s="174"/>
    </row>
    <row r="163" spans="6:7" x14ac:dyDescent="0.25">
      <c r="F163" s="174"/>
      <c r="G163" s="174"/>
    </row>
    <row r="164" spans="6:7" x14ac:dyDescent="0.25">
      <c r="F164" s="174"/>
      <c r="G164" s="174"/>
    </row>
    <row r="165" spans="6:7" x14ac:dyDescent="0.25">
      <c r="F165" s="174"/>
      <c r="G165" s="174"/>
    </row>
    <row r="166" spans="6:7" x14ac:dyDescent="0.25">
      <c r="F166" s="174"/>
      <c r="G166" s="174"/>
    </row>
    <row r="167" spans="6:7" x14ac:dyDescent="0.25">
      <c r="F167" s="174"/>
      <c r="G167" s="174"/>
    </row>
    <row r="168" spans="6:7" x14ac:dyDescent="0.25">
      <c r="F168" s="174"/>
      <c r="G168" s="174"/>
    </row>
    <row r="169" spans="6:7" x14ac:dyDescent="0.25">
      <c r="F169" s="174"/>
      <c r="G169" s="174"/>
    </row>
    <row r="170" spans="6:7" x14ac:dyDescent="0.25">
      <c r="F170" s="174"/>
      <c r="G170" s="174"/>
    </row>
    <row r="171" spans="6:7" x14ac:dyDescent="0.25">
      <c r="F171" s="174"/>
      <c r="G171" s="174"/>
    </row>
    <row r="172" spans="6:7" x14ac:dyDescent="0.25">
      <c r="F172" s="174"/>
      <c r="G172" s="174"/>
    </row>
    <row r="173" spans="6:7" x14ac:dyDescent="0.25">
      <c r="F173" s="174"/>
      <c r="G173" s="174"/>
    </row>
    <row r="174" spans="6:7" x14ac:dyDescent="0.25">
      <c r="F174" s="174"/>
      <c r="G174" s="174"/>
    </row>
    <row r="175" spans="6:7" x14ac:dyDescent="0.25">
      <c r="F175" s="174"/>
      <c r="G175" s="174"/>
    </row>
    <row r="176" spans="6:7" x14ac:dyDescent="0.25">
      <c r="F176" s="174"/>
      <c r="G176" s="174"/>
    </row>
    <row r="177" spans="6:7" x14ac:dyDescent="0.25">
      <c r="F177" s="174"/>
      <c r="G177" s="174"/>
    </row>
    <row r="178" spans="6:7" x14ac:dyDescent="0.25">
      <c r="F178" s="174"/>
      <c r="G178" s="174"/>
    </row>
    <row r="179" spans="6:7" x14ac:dyDescent="0.25">
      <c r="F179" s="174"/>
      <c r="G179" s="174"/>
    </row>
    <row r="180" spans="6:7" x14ac:dyDescent="0.25">
      <c r="F180" s="174"/>
      <c r="G180" s="174"/>
    </row>
    <row r="181" spans="6:7" x14ac:dyDescent="0.25">
      <c r="F181" s="174"/>
      <c r="G181" s="174"/>
    </row>
    <row r="182" spans="6:7" x14ac:dyDescent="0.25">
      <c r="F182" s="174"/>
      <c r="G182" s="174"/>
    </row>
    <row r="183" spans="6:7" x14ac:dyDescent="0.25">
      <c r="F183" s="174"/>
      <c r="G183" s="174"/>
    </row>
  </sheetData>
  <sheetProtection algorithmName="SHA-512" hashValue="Gr9+tCXL41ebCnSNc5FVNs4OOMipyQepnF/XVWFcGNjCPC1CWnHybbHNs6tBMW3av7zffZepofYggr9HO49zzw==" saltValue="MByfIOIdZqPCMuOKVelSHg==" spinCount="100000" sheet="1" objects="1" scenarios="1"/>
  <mergeCells count="65">
    <mergeCell ref="AA9:AA10"/>
    <mergeCell ref="AB9:AC9"/>
    <mergeCell ref="J8:J10"/>
    <mergeCell ref="K8:Y8"/>
    <mergeCell ref="Z8:Z10"/>
    <mergeCell ref="AA8:AD8"/>
    <mergeCell ref="AO9:AP9"/>
    <mergeCell ref="AQ9:AQ10"/>
    <mergeCell ref="AI8:AK8"/>
    <mergeCell ref="AL8:AN8"/>
    <mergeCell ref="AO8:AQ8"/>
    <mergeCell ref="AI9:AJ9"/>
    <mergeCell ref="AK9:AK10"/>
    <mergeCell ref="AL9:AM9"/>
    <mergeCell ref="AN9:AN10"/>
    <mergeCell ref="AE8:AE10"/>
    <mergeCell ref="AF8:AH8"/>
    <mergeCell ref="AD9:AD10"/>
    <mergeCell ref="AF9:AG9"/>
    <mergeCell ref="AH9:AH10"/>
    <mergeCell ref="H8:H10"/>
    <mergeCell ref="I8:I10"/>
    <mergeCell ref="A6:F6"/>
    <mergeCell ref="H6:Z6"/>
    <mergeCell ref="A7:F7"/>
    <mergeCell ref="H7:U7"/>
    <mergeCell ref="V7:Y7"/>
    <mergeCell ref="K9:M9"/>
    <mergeCell ref="N9:P9"/>
    <mergeCell ref="Q9:S9"/>
    <mergeCell ref="T9:V9"/>
    <mergeCell ref="W9:Y9"/>
    <mergeCell ref="A4:F4"/>
    <mergeCell ref="H4:Z4"/>
    <mergeCell ref="A5:F5"/>
    <mergeCell ref="H5:U5"/>
    <mergeCell ref="V5:W5"/>
    <mergeCell ref="X5:Z5"/>
    <mergeCell ref="A1:F3"/>
    <mergeCell ref="H1:Z1"/>
    <mergeCell ref="H2:Z2"/>
    <mergeCell ref="H3:Q3"/>
    <mergeCell ref="R3:S3"/>
    <mergeCell ref="T3:Z3"/>
    <mergeCell ref="A25:A28"/>
    <mergeCell ref="C8:C10"/>
    <mergeCell ref="G8:G10"/>
    <mergeCell ref="C11:C15"/>
    <mergeCell ref="C16:C24"/>
    <mergeCell ref="C25:C26"/>
    <mergeCell ref="C27:C28"/>
    <mergeCell ref="A8:A10"/>
    <mergeCell ref="B8:B10"/>
    <mergeCell ref="F8:F10"/>
    <mergeCell ref="A11:A24"/>
    <mergeCell ref="D8:D10"/>
    <mergeCell ref="E8:E10"/>
    <mergeCell ref="B11:B15"/>
    <mergeCell ref="B16:B24"/>
    <mergeCell ref="B25:B26"/>
    <mergeCell ref="B27:B28"/>
    <mergeCell ref="D11:D15"/>
    <mergeCell ref="D16:D24"/>
    <mergeCell ref="D25:D26"/>
    <mergeCell ref="D27:D28"/>
  </mergeCells>
  <conditionalFormatting sqref="P11:P28 S11:S28 V11:V28 Y11:Y28 M11:M28">
    <cfRule type="cellIs" dxfId="62" priority="1" stopIfTrue="1" operator="equal">
      <formula>0</formula>
    </cfRule>
    <cfRule type="cellIs" dxfId="61" priority="2" stopIfTrue="1" operator="greaterThan">
      <formula>1</formula>
    </cfRule>
    <cfRule type="cellIs" dxfId="60" priority="3" stopIfTrue="1" operator="between">
      <formula>0.9</formula>
      <formula>1</formula>
    </cfRule>
    <cfRule type="cellIs" dxfId="59" priority="4" stopIfTrue="1" operator="between">
      <formula>0.7</formula>
      <formula>0.8999</formula>
    </cfRule>
    <cfRule type="cellIs" dxfId="58" priority="5" stopIfTrue="1" operator="between">
      <formula>0.00001</formula>
      <formula>0.6999</formula>
    </cfRule>
  </conditionalFormatting>
  <dataValidations xWindow="820" yWindow="607" count="10">
    <dataValidation type="list" allowBlank="1" showInputMessage="1" showErrorMessage="1" prompt="Seleccione la Vigencia del Plan de Gestión" sqref="R3:S3">
      <formula1>$A$97:$A$108</formula1>
    </dataValidation>
    <dataValidation allowBlank="1" showInputMessage="1" showErrorMessage="1" sqref="X5:Z5"/>
    <dataValidation showInputMessage="1" showErrorMessage="1" sqref="V5"/>
    <dataValidation type="list" allowBlank="1" showInputMessage="1" showErrorMessage="1" prompt="Elija una opción del menú desplegable" sqref="H5">
      <formula1>$F$97:$F$112</formula1>
    </dataValidation>
    <dataValidation type="list" allowBlank="1" showInputMessage="1" showErrorMessage="1" prompt="Elija una opción del menu desplegable" sqref="I27:I28">
      <formula1>$F$111:$F$112</formula1>
    </dataValidation>
    <dataValidation type="list" allowBlank="1" showInputMessage="1" showErrorMessage="1" prompt="Elija una opción del menu desplegable" sqref="I11:I26">
      <formula1>$F$121:$F$122</formula1>
    </dataValidation>
    <dataValidation type="list" allowBlank="1" showInputMessage="1" showErrorMessage="1" error="Debe seleccionar uno de los campos del menu desplegable" prompt="Elija una opción del menu desplegable" sqref="J11:J28">
      <formula1>$F$126:$F$127</formula1>
    </dataValidation>
    <dataValidation errorStyle="information" showInputMessage="1" showErrorMessage="1" error="Elija una Categoría" prompt="Elija una Categoría del menú desplegable" sqref="AE11:AE28"/>
    <dataValidation type="list" errorStyle="information" showInputMessage="1" showErrorMessage="1" error="Elija una Categoría" prompt="Elija una opción del menú desplegable" sqref="AD11:AD28">
      <formula1>$F$116:$F$118</formula1>
    </dataValidation>
    <dataValidation type="list" allowBlank="1" showInputMessage="1" showErrorMessage="1" prompt="Seleccione el Objetivo Estratégico" sqref="A11:A28">
      <formula1>$F$130:$F$136</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54D64E"/>
  </sheetPr>
  <dimension ref="A1:BG172"/>
  <sheetViews>
    <sheetView zoomScale="55" zoomScaleNormal="55" workbookViewId="0">
      <selection activeCell="Q11" sqref="Q11:R18"/>
    </sheetView>
  </sheetViews>
  <sheetFormatPr baseColWidth="10" defaultColWidth="11.5" defaultRowHeight="15.75" x14ac:dyDescent="0.25"/>
  <cols>
    <col min="1" max="1" width="21" style="106" customWidth="1"/>
    <col min="2" max="2" width="5.125" style="106" customWidth="1"/>
    <col min="3" max="3" width="29.5" style="106" customWidth="1"/>
    <col min="4" max="4" width="7.75" style="106" customWidth="1"/>
    <col min="5" max="5" width="8.5" style="106" customWidth="1"/>
    <col min="6" max="6" width="29.5" style="106" customWidth="1"/>
    <col min="7" max="7" width="11.375" style="106" customWidth="1"/>
    <col min="8" max="8" width="6" style="106" customWidth="1"/>
    <col min="9" max="9" width="14.125" style="106" customWidth="1"/>
    <col min="10" max="10" width="14.75" style="106" customWidth="1"/>
    <col min="11" max="11" width="10.375" style="106" customWidth="1"/>
    <col min="12" max="12" width="11.375" style="106" customWidth="1"/>
    <col min="13" max="13" width="10.625" style="106" customWidth="1"/>
    <col min="14" max="14" width="9.375" style="106" customWidth="1"/>
    <col min="15" max="15" width="11.875" style="106" customWidth="1"/>
    <col min="16" max="16" width="9.875" style="106" customWidth="1"/>
    <col min="17" max="17" width="6.125" style="106" customWidth="1"/>
    <col min="18" max="18" width="6.875" style="106" customWidth="1"/>
    <col min="19" max="19" width="8.5" style="106" customWidth="1"/>
    <col min="20" max="20" width="6.5" style="106" customWidth="1"/>
    <col min="21" max="21" width="5.625" style="106" customWidth="1"/>
    <col min="22" max="23" width="7.5" style="106" customWidth="1"/>
    <col min="24" max="24" width="8.125" style="106" customWidth="1"/>
    <col min="25" max="25" width="8.875" style="106" customWidth="1"/>
    <col min="26" max="26" width="8" style="106" customWidth="1"/>
    <col min="27" max="27" width="17.875" style="106" customWidth="1"/>
    <col min="28" max="29" width="15.5" style="106" customWidth="1"/>
    <col min="30" max="30" width="11.5" style="106"/>
    <col min="31" max="31" width="13.875" style="106" customWidth="1"/>
    <col min="32" max="32" width="12.5" style="106" customWidth="1"/>
    <col min="33" max="33" width="14.25" style="106" customWidth="1"/>
    <col min="34" max="34" width="24.375" style="106" customWidth="1"/>
    <col min="35" max="36" width="11.5" style="106" customWidth="1"/>
    <col min="37" max="37" width="24.375" style="106" customWidth="1"/>
    <col min="38" max="39" width="11.5" style="106" customWidth="1"/>
    <col min="40" max="40" width="24.375" style="106" customWidth="1"/>
    <col min="41" max="42" width="11.5" style="106" customWidth="1"/>
    <col min="43" max="43" width="24.375" style="106" customWidth="1"/>
    <col min="44" max="16384" width="11.5" style="106"/>
  </cols>
  <sheetData>
    <row r="1" spans="1:47" ht="27.75" customHeight="1" x14ac:dyDescent="0.25">
      <c r="A1" s="1805"/>
      <c r="B1" s="1713"/>
      <c r="C1" s="1714"/>
      <c r="D1" s="102"/>
      <c r="E1" s="102"/>
      <c r="F1" s="102"/>
      <c r="G1" s="102"/>
      <c r="H1" s="1806" t="s">
        <v>176</v>
      </c>
      <c r="I1" s="1807"/>
      <c r="J1" s="1807"/>
      <c r="K1" s="1807"/>
      <c r="L1" s="1807"/>
      <c r="M1" s="1807"/>
      <c r="N1" s="1807"/>
      <c r="O1" s="1807"/>
      <c r="P1" s="1807"/>
      <c r="Q1" s="1807"/>
      <c r="R1" s="1807"/>
      <c r="S1" s="1807"/>
      <c r="T1" s="1807"/>
      <c r="U1" s="1807"/>
      <c r="V1" s="1807"/>
      <c r="W1" s="1807"/>
      <c r="X1" s="1807"/>
      <c r="Y1" s="1807"/>
      <c r="Z1" s="1808"/>
      <c r="AA1" s="44"/>
      <c r="AB1" s="44"/>
      <c r="AC1" s="44"/>
      <c r="AD1" s="103"/>
      <c r="AE1" s="103"/>
      <c r="AF1" s="104"/>
      <c r="AG1" s="104"/>
      <c r="AH1" s="104"/>
      <c r="AI1" s="104"/>
      <c r="AJ1" s="104"/>
      <c r="AK1" s="104"/>
      <c r="AL1" s="104"/>
      <c r="AM1" s="104"/>
      <c r="AN1" s="104"/>
      <c r="AO1" s="104"/>
      <c r="AP1" s="104"/>
      <c r="AQ1" s="105"/>
    </row>
    <row r="2" spans="1:47" ht="27.75" customHeight="1" x14ac:dyDescent="0.25">
      <c r="A2" s="1666"/>
      <c r="B2" s="1715"/>
      <c r="C2" s="1716"/>
      <c r="D2" s="107"/>
      <c r="E2" s="107"/>
      <c r="F2" s="107"/>
      <c r="G2" s="107"/>
      <c r="H2" s="1708" t="s">
        <v>0</v>
      </c>
      <c r="I2" s="1709"/>
      <c r="J2" s="1709"/>
      <c r="K2" s="1709"/>
      <c r="L2" s="1709"/>
      <c r="M2" s="1709"/>
      <c r="N2" s="1709"/>
      <c r="O2" s="1709"/>
      <c r="P2" s="1709"/>
      <c r="Q2" s="1709"/>
      <c r="R2" s="1709"/>
      <c r="S2" s="1709"/>
      <c r="T2" s="1709"/>
      <c r="U2" s="1709"/>
      <c r="V2" s="1709"/>
      <c r="W2" s="1709"/>
      <c r="X2" s="1709"/>
      <c r="Y2" s="1709"/>
      <c r="Z2" s="1720"/>
      <c r="AA2" s="108"/>
      <c r="AB2" s="108"/>
      <c r="AC2" s="108"/>
      <c r="AD2" s="109"/>
      <c r="AE2" s="109"/>
      <c r="AQ2" s="110"/>
    </row>
    <row r="3" spans="1:47" ht="27.75" customHeight="1" x14ac:dyDescent="0.25">
      <c r="A3" s="1666"/>
      <c r="B3" s="1715"/>
      <c r="C3" s="1716"/>
      <c r="D3" s="107"/>
      <c r="E3" s="107"/>
      <c r="F3" s="107"/>
      <c r="G3" s="107"/>
      <c r="H3" s="1721" t="s">
        <v>210</v>
      </c>
      <c r="I3" s="1722"/>
      <c r="J3" s="1722"/>
      <c r="K3" s="1722"/>
      <c r="L3" s="1722"/>
      <c r="M3" s="1722"/>
      <c r="N3" s="1722"/>
      <c r="O3" s="1722"/>
      <c r="P3" s="1722"/>
      <c r="Q3" s="1722"/>
      <c r="R3" s="1723">
        <v>2019</v>
      </c>
      <c r="S3" s="1723"/>
      <c r="T3" s="1724"/>
      <c r="U3" s="1724"/>
      <c r="V3" s="1724"/>
      <c r="W3" s="1724"/>
      <c r="X3" s="1724"/>
      <c r="Y3" s="1724"/>
      <c r="Z3" s="1725"/>
      <c r="AA3" s="53"/>
      <c r="AB3" s="53"/>
      <c r="AC3" s="53"/>
      <c r="AD3" s="109"/>
      <c r="AQ3" s="110"/>
    </row>
    <row r="4" spans="1:47" ht="27.75" customHeight="1" x14ac:dyDescent="0.25">
      <c r="A4" s="1809" t="s">
        <v>1</v>
      </c>
      <c r="B4" s="1693"/>
      <c r="C4" s="1694"/>
      <c r="D4" s="109"/>
      <c r="E4" s="109"/>
      <c r="F4" s="109"/>
      <c r="G4" s="109"/>
      <c r="H4" s="1705" t="s">
        <v>227</v>
      </c>
      <c r="I4" s="1706"/>
      <c r="J4" s="1706"/>
      <c r="K4" s="1706"/>
      <c r="L4" s="1706"/>
      <c r="M4" s="1706"/>
      <c r="N4" s="1706"/>
      <c r="O4" s="1706"/>
      <c r="P4" s="1706"/>
      <c r="Q4" s="1706"/>
      <c r="R4" s="1706"/>
      <c r="S4" s="1706"/>
      <c r="T4" s="1706"/>
      <c r="U4" s="1706"/>
      <c r="V4" s="1706"/>
      <c r="W4" s="1706"/>
      <c r="X4" s="1706"/>
      <c r="Y4" s="1706"/>
      <c r="Z4" s="1707"/>
      <c r="AA4" s="111"/>
      <c r="AB4" s="111"/>
      <c r="AC4" s="111"/>
      <c r="AD4" s="111"/>
      <c r="AQ4" s="110"/>
    </row>
    <row r="5" spans="1:47" s="114" customFormat="1" ht="27.75" customHeight="1" x14ac:dyDescent="0.25">
      <c r="A5" s="1809" t="s">
        <v>2</v>
      </c>
      <c r="B5" s="1693"/>
      <c r="C5" s="1694"/>
      <c r="D5" s="109"/>
      <c r="E5" s="109"/>
      <c r="F5" s="109"/>
      <c r="G5" s="109"/>
      <c r="H5" s="1708" t="s">
        <v>177</v>
      </c>
      <c r="I5" s="1709"/>
      <c r="J5" s="1709"/>
      <c r="K5" s="1709"/>
      <c r="L5" s="1709"/>
      <c r="M5" s="1709"/>
      <c r="N5" s="1709"/>
      <c r="O5" s="1709"/>
      <c r="P5" s="1709"/>
      <c r="Q5" s="1709"/>
      <c r="R5" s="1709"/>
      <c r="S5" s="1709"/>
      <c r="T5" s="1709"/>
      <c r="U5" s="1710"/>
      <c r="V5" s="1708" t="s">
        <v>4</v>
      </c>
      <c r="W5" s="1709"/>
      <c r="X5" s="1711" t="str">
        <f>IF(ISERROR(VLOOKUP($H$5,$C$87:$L$101,6,0))," ",VLOOKUP($H$5,$C$87:$L$101,6,0))</f>
        <v>PE01</v>
      </c>
      <c r="Y5" s="1711"/>
      <c r="Z5" s="1712"/>
      <c r="AA5" s="112"/>
      <c r="AB5" s="106"/>
      <c r="AC5" s="106"/>
      <c r="AD5" s="108"/>
      <c r="AE5" s="113"/>
      <c r="AF5" s="106"/>
      <c r="AG5" s="106"/>
      <c r="AH5" s="106"/>
      <c r="AQ5" s="115"/>
    </row>
    <row r="6" spans="1:47" s="114" customFormat="1" ht="27.75" customHeight="1" x14ac:dyDescent="0.25">
      <c r="A6" s="1809" t="s">
        <v>5</v>
      </c>
      <c r="B6" s="1693"/>
      <c r="C6" s="1694"/>
      <c r="D6" s="109"/>
      <c r="E6" s="109"/>
      <c r="F6" s="109"/>
      <c r="G6" s="109"/>
      <c r="H6" s="1695"/>
      <c r="I6" s="1793"/>
      <c r="J6" s="1793"/>
      <c r="K6" s="1793"/>
      <c r="L6" s="1793"/>
      <c r="M6" s="1793"/>
      <c r="N6" s="1793"/>
      <c r="O6" s="1793"/>
      <c r="P6" s="1793"/>
      <c r="Q6" s="1793"/>
      <c r="R6" s="1793"/>
      <c r="S6" s="1793"/>
      <c r="T6" s="1793"/>
      <c r="U6" s="1793"/>
      <c r="V6" s="1793"/>
      <c r="W6" s="1793"/>
      <c r="X6" s="1793"/>
      <c r="Y6" s="1793"/>
      <c r="Z6" s="1794"/>
      <c r="AA6" s="106"/>
      <c r="AB6" s="106"/>
      <c r="AC6" s="116"/>
      <c r="AD6" s="108"/>
      <c r="AE6" s="113"/>
      <c r="AF6" s="111"/>
      <c r="AG6" s="111"/>
      <c r="AH6" s="111"/>
      <c r="AI6" s="111"/>
      <c r="AJ6" s="111"/>
      <c r="AK6" s="111"/>
      <c r="AL6" s="111"/>
      <c r="AM6" s="111"/>
      <c r="AN6" s="111"/>
      <c r="AO6" s="111"/>
      <c r="AP6" s="111"/>
      <c r="AQ6" s="117"/>
      <c r="AR6" s="111"/>
      <c r="AS6" s="111"/>
      <c r="AT6" s="111"/>
      <c r="AU6" s="111"/>
    </row>
    <row r="7" spans="1:47" s="114" customFormat="1" ht="27.75" customHeight="1" thickBot="1" x14ac:dyDescent="0.3">
      <c r="A7" s="1698" t="s">
        <v>6</v>
      </c>
      <c r="B7" s="1699"/>
      <c r="C7" s="1700"/>
      <c r="D7" s="118"/>
      <c r="E7" s="118"/>
      <c r="F7" s="118"/>
      <c r="G7" s="118"/>
      <c r="H7" s="1701" t="s">
        <v>240</v>
      </c>
      <c r="I7" s="1702"/>
      <c r="J7" s="1702"/>
      <c r="K7" s="1702"/>
      <c r="L7" s="1702"/>
      <c r="M7" s="1702"/>
      <c r="N7" s="1702"/>
      <c r="O7" s="1702"/>
      <c r="P7" s="1702"/>
      <c r="Q7" s="1702"/>
      <c r="R7" s="1702"/>
      <c r="S7" s="1702"/>
      <c r="T7" s="1702"/>
      <c r="U7" s="1702"/>
      <c r="V7" s="1703" t="s">
        <v>7</v>
      </c>
      <c r="W7" s="1704"/>
      <c r="X7" s="1704"/>
      <c r="Y7" s="1704"/>
      <c r="Z7" s="119">
        <f>SUM(Z11:Z15)</f>
        <v>0.95833333333333326</v>
      </c>
      <c r="AA7" s="106"/>
      <c r="AB7" s="106"/>
      <c r="AC7" s="106"/>
      <c r="AD7" s="106"/>
      <c r="AF7" s="106"/>
      <c r="AG7" s="106"/>
      <c r="AH7" s="106"/>
      <c r="AQ7" s="115"/>
    </row>
    <row r="8" spans="1:47" s="114" customFormat="1" ht="16.5" thickBot="1" x14ac:dyDescent="0.3">
      <c r="A8" s="1812" t="s">
        <v>8</v>
      </c>
      <c r="B8" s="1813" t="s">
        <v>9</v>
      </c>
      <c r="C8" s="1814" t="s">
        <v>10</v>
      </c>
      <c r="D8" s="1815" t="s">
        <v>289</v>
      </c>
      <c r="E8" s="1813" t="s">
        <v>285</v>
      </c>
      <c r="F8" s="1817" t="s">
        <v>253</v>
      </c>
      <c r="G8" s="1817" t="s">
        <v>241</v>
      </c>
      <c r="H8" s="1815" t="s">
        <v>11</v>
      </c>
      <c r="I8" s="1814" t="s">
        <v>12</v>
      </c>
      <c r="J8" s="1836" t="s">
        <v>13</v>
      </c>
      <c r="K8" s="1837" t="s">
        <v>14</v>
      </c>
      <c r="L8" s="1838"/>
      <c r="M8" s="1838"/>
      <c r="N8" s="1838"/>
      <c r="O8" s="1838"/>
      <c r="P8" s="1838"/>
      <c r="Q8" s="1838"/>
      <c r="R8" s="1838"/>
      <c r="S8" s="1838"/>
      <c r="T8" s="1838"/>
      <c r="U8" s="1838"/>
      <c r="V8" s="1838"/>
      <c r="W8" s="1838"/>
      <c r="X8" s="1838"/>
      <c r="Y8" s="1839"/>
      <c r="Z8" s="1833" t="s">
        <v>15</v>
      </c>
      <c r="AA8" s="1835" t="s">
        <v>16</v>
      </c>
      <c r="AB8" s="1814"/>
      <c r="AC8" s="1814"/>
      <c r="AD8" s="1806"/>
      <c r="AE8" s="1811" t="s">
        <v>17</v>
      </c>
      <c r="AF8" s="1810" t="s">
        <v>18</v>
      </c>
      <c r="AG8" s="1807"/>
      <c r="AH8" s="1808"/>
      <c r="AI8" s="1810" t="s">
        <v>19</v>
      </c>
      <c r="AJ8" s="1807"/>
      <c r="AK8" s="1808"/>
      <c r="AL8" s="1810" t="s">
        <v>20</v>
      </c>
      <c r="AM8" s="1807"/>
      <c r="AN8" s="1808"/>
      <c r="AO8" s="1810" t="s">
        <v>21</v>
      </c>
      <c r="AP8" s="1807"/>
      <c r="AQ8" s="1718"/>
      <c r="AR8" s="1824" t="s">
        <v>706</v>
      </c>
      <c r="AS8" s="1824" t="s">
        <v>718</v>
      </c>
    </row>
    <row r="9" spans="1:47" s="114" customFormat="1" ht="15.75" customHeight="1" x14ac:dyDescent="0.25">
      <c r="A9" s="1752"/>
      <c r="B9" s="1749"/>
      <c r="C9" s="1761"/>
      <c r="D9" s="1764"/>
      <c r="E9" s="1749"/>
      <c r="F9" s="1771"/>
      <c r="G9" s="1771"/>
      <c r="H9" s="1764"/>
      <c r="I9" s="1761"/>
      <c r="J9" s="1755"/>
      <c r="K9" s="1678" t="s">
        <v>22</v>
      </c>
      <c r="L9" s="1803"/>
      <c r="M9" s="1804"/>
      <c r="N9" s="1727" t="s">
        <v>23</v>
      </c>
      <c r="O9" s="1736"/>
      <c r="P9" s="1737"/>
      <c r="Q9" s="1738" t="s">
        <v>24</v>
      </c>
      <c r="R9" s="1736"/>
      <c r="S9" s="1739"/>
      <c r="T9" s="1727" t="s">
        <v>25</v>
      </c>
      <c r="U9" s="1736"/>
      <c r="V9" s="1737"/>
      <c r="W9" s="1738" t="s">
        <v>26</v>
      </c>
      <c r="X9" s="1736"/>
      <c r="Y9" s="1739"/>
      <c r="Z9" s="1743"/>
      <c r="AA9" s="1832" t="s">
        <v>27</v>
      </c>
      <c r="AB9" s="1737" t="s">
        <v>28</v>
      </c>
      <c r="AC9" s="1727"/>
      <c r="AD9" s="1734" t="s">
        <v>29</v>
      </c>
      <c r="AE9" s="1732"/>
      <c r="AF9" s="1726" t="s">
        <v>30</v>
      </c>
      <c r="AG9" s="1727"/>
      <c r="AH9" s="1728" t="s">
        <v>31</v>
      </c>
      <c r="AI9" s="1726" t="s">
        <v>30</v>
      </c>
      <c r="AJ9" s="1727"/>
      <c r="AK9" s="1728" t="s">
        <v>31</v>
      </c>
      <c r="AL9" s="1726" t="s">
        <v>30</v>
      </c>
      <c r="AM9" s="1727"/>
      <c r="AN9" s="1728" t="s">
        <v>31</v>
      </c>
      <c r="AO9" s="1726" t="s">
        <v>30</v>
      </c>
      <c r="AP9" s="1727"/>
      <c r="AQ9" s="1734" t="s">
        <v>31</v>
      </c>
      <c r="AR9" s="1824"/>
      <c r="AS9" s="1824"/>
    </row>
    <row r="10" spans="1:47" s="114" customFormat="1" ht="24.75" customHeight="1" thickBot="1" x14ac:dyDescent="0.3">
      <c r="A10" s="1753"/>
      <c r="B10" s="1750"/>
      <c r="C10" s="1762"/>
      <c r="D10" s="1816"/>
      <c r="E10" s="1750"/>
      <c r="F10" s="1771"/>
      <c r="G10" s="1771"/>
      <c r="H10" s="1816"/>
      <c r="I10" s="1762"/>
      <c r="J10" s="1799"/>
      <c r="K10" s="624" t="s">
        <v>32</v>
      </c>
      <c r="L10" s="126" t="s">
        <v>33</v>
      </c>
      <c r="M10" s="605" t="s">
        <v>34</v>
      </c>
      <c r="N10" s="324" t="s">
        <v>32</v>
      </c>
      <c r="O10" s="126" t="s">
        <v>33</v>
      </c>
      <c r="P10" s="610" t="s">
        <v>34</v>
      </c>
      <c r="Q10" s="624" t="s">
        <v>32</v>
      </c>
      <c r="R10" s="126" t="s">
        <v>33</v>
      </c>
      <c r="S10" s="605" t="s">
        <v>34</v>
      </c>
      <c r="T10" s="324" t="s">
        <v>32</v>
      </c>
      <c r="U10" s="126" t="s">
        <v>33</v>
      </c>
      <c r="V10" s="610" t="s">
        <v>34</v>
      </c>
      <c r="W10" s="624" t="s">
        <v>35</v>
      </c>
      <c r="X10" s="126" t="s">
        <v>36</v>
      </c>
      <c r="Y10" s="224" t="s">
        <v>34</v>
      </c>
      <c r="Z10" s="1834"/>
      <c r="AA10" s="1832"/>
      <c r="AB10" s="126" t="s">
        <v>37</v>
      </c>
      <c r="AC10" s="126" t="s">
        <v>38</v>
      </c>
      <c r="AD10" s="1734"/>
      <c r="AE10" s="1733"/>
      <c r="AF10" s="624" t="s">
        <v>37</v>
      </c>
      <c r="AG10" s="126" t="s">
        <v>38</v>
      </c>
      <c r="AH10" s="1728"/>
      <c r="AI10" s="120" t="s">
        <v>37</v>
      </c>
      <c r="AJ10" s="121" t="s">
        <v>38</v>
      </c>
      <c r="AK10" s="1729"/>
      <c r="AL10" s="120" t="s">
        <v>37</v>
      </c>
      <c r="AM10" s="121" t="s">
        <v>38</v>
      </c>
      <c r="AN10" s="1729"/>
      <c r="AO10" s="120" t="s">
        <v>37</v>
      </c>
      <c r="AP10" s="121" t="s">
        <v>38</v>
      </c>
      <c r="AQ10" s="1735"/>
      <c r="AR10" s="1825"/>
      <c r="AS10" s="1825"/>
    </row>
    <row r="11" spans="1:47" s="114" customFormat="1" ht="79.5" customHeight="1" x14ac:dyDescent="0.25">
      <c r="A11" s="1665" t="s">
        <v>598</v>
      </c>
      <c r="B11" s="1675">
        <v>5</v>
      </c>
      <c r="C11" s="1668" t="s">
        <v>720</v>
      </c>
      <c r="D11" s="1818">
        <v>0.5</v>
      </c>
      <c r="E11" s="531" t="s">
        <v>559</v>
      </c>
      <c r="F11" s="528" t="s">
        <v>705</v>
      </c>
      <c r="G11" s="531">
        <v>3</v>
      </c>
      <c r="H11" s="544">
        <v>0.25</v>
      </c>
      <c r="I11" s="544" t="s">
        <v>42</v>
      </c>
      <c r="J11" s="213" t="s">
        <v>40</v>
      </c>
      <c r="K11" s="538">
        <v>0</v>
      </c>
      <c r="L11" s="531">
        <f t="shared" ref="L11:L14" si="0">IF(I11="Cantidad",AF11,IF(ISERROR(AF11/AG11),0,AF11/AG11))</f>
        <v>0</v>
      </c>
      <c r="M11" s="606">
        <f>IF(ISERROR(L11/K11),0,(L11/K11))</f>
        <v>0</v>
      </c>
      <c r="N11" s="538">
        <v>1</v>
      </c>
      <c r="O11" s="508">
        <f t="shared" ref="O11:O18" si="1">IF(I11="Cantidad",AI11,IF(ISERROR(AI11/AJ11),0,AI11/AJ11))</f>
        <v>1</v>
      </c>
      <c r="P11" s="606">
        <f>IF(ISERROR(O11/N11),0,(O11/N11))</f>
        <v>1</v>
      </c>
      <c r="Q11" s="538">
        <v>1</v>
      </c>
      <c r="R11" s="508">
        <f>IF(I11="Cantidad",AL11,IF(ISERROR(AL11/AM11),0,AL11/AM11))</f>
        <v>1</v>
      </c>
      <c r="S11" s="128">
        <f>IF(ISERROR(R11/Q11),0,(R11/Q11))</f>
        <v>1</v>
      </c>
      <c r="T11" s="538">
        <v>1</v>
      </c>
      <c r="U11" s="508">
        <f>IF(I11="Cantidad",AO11,IF(ISERROR(AO11/AP11),0,AO11/AP11))</f>
        <v>0</v>
      </c>
      <c r="V11" s="606">
        <f>IF(ISERROR(U11/T11),0,(U11/T11))</f>
        <v>0</v>
      </c>
      <c r="W11" s="129">
        <f>IF(J11="SUMA",(K11+N11+Q11+T11),(K11))</f>
        <v>3</v>
      </c>
      <c r="X11" s="1389">
        <f t="shared" ref="X11:X15" si="2">IF(ISERROR(AVERAGE(L11,O11,R11,U11)),0,IF(J11="Suma",(L11+O11+R11+U11),AVERAGE(L11,O11,R11,U11)))</f>
        <v>2</v>
      </c>
      <c r="Y11" s="128">
        <f t="shared" ref="Y11:Y15" si="3">IF(ISERROR(X11/W11),0,(X11/W11))</f>
        <v>0.66666666666666663</v>
      </c>
      <c r="Z11" s="619">
        <f t="shared" ref="Z11:Z18" si="4">+Y11*H11</f>
        <v>0.16666666666666666</v>
      </c>
      <c r="AA11" s="765" t="s">
        <v>350</v>
      </c>
      <c r="AB11" s="127" t="s">
        <v>517</v>
      </c>
      <c r="AC11" s="127" t="s">
        <v>518</v>
      </c>
      <c r="AD11" s="327" t="s">
        <v>43</v>
      </c>
      <c r="AE11" s="683" t="s">
        <v>423</v>
      </c>
      <c r="AF11" s="643">
        <v>0</v>
      </c>
      <c r="AG11" s="649">
        <v>0</v>
      </c>
      <c r="AH11" s="134"/>
      <c r="AI11" s="135">
        <v>1</v>
      </c>
      <c r="AJ11" s="136">
        <v>1</v>
      </c>
      <c r="AK11" s="137"/>
      <c r="AL11" s="135">
        <v>1</v>
      </c>
      <c r="AM11" s="136">
        <v>1</v>
      </c>
      <c r="AN11" s="138"/>
      <c r="AO11" s="135"/>
      <c r="AP11" s="136"/>
      <c r="AQ11" s="138"/>
      <c r="AR11" s="1826" t="s">
        <v>177</v>
      </c>
      <c r="AS11" s="1829">
        <f>((SUM(Z11:Z14))*0.5)+((SUM(Z15:Z18))*0.5)</f>
        <v>0.75757575757575757</v>
      </c>
    </row>
    <row r="12" spans="1:47" s="114" customFormat="1" ht="60.75" customHeight="1" x14ac:dyDescent="0.25">
      <c r="A12" s="1667"/>
      <c r="B12" s="1676"/>
      <c r="C12" s="1669"/>
      <c r="D12" s="1819"/>
      <c r="E12" s="532" t="s">
        <v>621</v>
      </c>
      <c r="F12" s="537" t="s">
        <v>695</v>
      </c>
      <c r="G12" s="532">
        <v>1</v>
      </c>
      <c r="H12" s="545">
        <v>0.25</v>
      </c>
      <c r="I12" s="545" t="s">
        <v>42</v>
      </c>
      <c r="J12" s="214" t="s">
        <v>40</v>
      </c>
      <c r="K12" s="539">
        <v>1</v>
      </c>
      <c r="L12" s="537">
        <f t="shared" si="0"/>
        <v>1</v>
      </c>
      <c r="M12" s="607">
        <f>IF(ISERROR(L12/K12),0,(L12/K12))</f>
        <v>1</v>
      </c>
      <c r="N12" s="539">
        <v>0</v>
      </c>
      <c r="O12" s="537">
        <f t="shared" si="1"/>
        <v>0</v>
      </c>
      <c r="P12" s="607"/>
      <c r="Q12" s="541">
        <v>0</v>
      </c>
      <c r="R12" s="537">
        <f>IF(I12="Cantidad",AL12,IF(ISERROR(AL12/AM12),0,AL12/AM12))</f>
        <v>0</v>
      </c>
      <c r="S12" s="141"/>
      <c r="T12" s="541">
        <v>0</v>
      </c>
      <c r="U12" s="537">
        <f>IF(I12="Cantidad",AO12,IF(ISERROR(AO12/AP12),0,AO12/AP12))</f>
        <v>0</v>
      </c>
      <c r="V12" s="628"/>
      <c r="W12" s="199">
        <f>IF(J12="SUMA",(K12+N12+Q12+T12),(K12))</f>
        <v>1</v>
      </c>
      <c r="X12" s="1388">
        <f t="shared" si="2"/>
        <v>1</v>
      </c>
      <c r="Y12" s="190">
        <f t="shared" si="3"/>
        <v>1</v>
      </c>
      <c r="Z12" s="620">
        <f t="shared" si="4"/>
        <v>0.25</v>
      </c>
      <c r="AA12" s="766" t="s">
        <v>351</v>
      </c>
      <c r="AB12" s="139" t="s">
        <v>519</v>
      </c>
      <c r="AC12" s="139" t="s">
        <v>520</v>
      </c>
      <c r="AD12" s="333" t="s">
        <v>43</v>
      </c>
      <c r="AE12" s="684" t="s">
        <v>413</v>
      </c>
      <c r="AF12" s="644">
        <v>1</v>
      </c>
      <c r="AG12" s="650">
        <v>1</v>
      </c>
      <c r="AH12" s="195"/>
      <c r="AI12" s="774"/>
      <c r="AJ12" s="775"/>
      <c r="AK12" s="197"/>
      <c r="AL12" s="774"/>
      <c r="AM12" s="775"/>
      <c r="AN12" s="198"/>
      <c r="AO12" s="774"/>
      <c r="AP12" s="775"/>
      <c r="AQ12" s="198"/>
      <c r="AR12" s="1827"/>
      <c r="AS12" s="1830"/>
    </row>
    <row r="13" spans="1:47" s="114" customFormat="1" ht="49.5" customHeight="1" x14ac:dyDescent="0.25">
      <c r="A13" s="1667"/>
      <c r="B13" s="1676"/>
      <c r="C13" s="1669"/>
      <c r="D13" s="1819"/>
      <c r="E13" s="532" t="s">
        <v>622</v>
      </c>
      <c r="F13" s="537" t="s">
        <v>298</v>
      </c>
      <c r="G13" s="532">
        <v>3</v>
      </c>
      <c r="H13" s="545">
        <v>0.25</v>
      </c>
      <c r="I13" s="545" t="s">
        <v>42</v>
      </c>
      <c r="J13" s="214" t="s">
        <v>40</v>
      </c>
      <c r="K13" s="539">
        <v>0</v>
      </c>
      <c r="L13" s="537">
        <f t="shared" si="0"/>
        <v>0</v>
      </c>
      <c r="M13" s="607">
        <f>IF(ISERROR(L13/K13),0,(L13/K13))</f>
        <v>0</v>
      </c>
      <c r="N13" s="539">
        <v>1</v>
      </c>
      <c r="O13" s="537">
        <f t="shared" si="1"/>
        <v>1</v>
      </c>
      <c r="P13" s="607">
        <f>IF(ISERROR(O13/N13),0,(O13/N13))</f>
        <v>1</v>
      </c>
      <c r="Q13" s="143">
        <v>1</v>
      </c>
      <c r="R13" s="126">
        <f>IF(I13="Cantidad",AL13,IF(ISERROR(AL13/AM13),0,AL13/AM13))</f>
        <v>1</v>
      </c>
      <c r="S13" s="144">
        <f>IF(ISERROR(R13/Q13),0,(R13/Q13))</f>
        <v>1</v>
      </c>
      <c r="T13" s="143">
        <v>1</v>
      </c>
      <c r="U13" s="126">
        <f>IF(I13="Cantidad",AO13,IF(ISERROR(AO13/AP13),0,AO13/AP13))</f>
        <v>0</v>
      </c>
      <c r="V13" s="612">
        <f>IF(ISERROR(U13/T13),0,(U13/T13))</f>
        <v>0</v>
      </c>
      <c r="W13" s="1411">
        <f>IF(J13="SUMA",(K13+N13+Q13+T13),(K13))</f>
        <v>3</v>
      </c>
      <c r="X13" s="1388">
        <f t="shared" si="2"/>
        <v>2</v>
      </c>
      <c r="Y13" s="190">
        <f t="shared" si="3"/>
        <v>0.66666666666666663</v>
      </c>
      <c r="Z13" s="620">
        <f t="shared" si="4"/>
        <v>0.16666666666666666</v>
      </c>
      <c r="AA13" s="767" t="s">
        <v>376</v>
      </c>
      <c r="AB13" s="147" t="s">
        <v>421</v>
      </c>
      <c r="AC13" s="147" t="s">
        <v>422</v>
      </c>
      <c r="AD13" s="334" t="s">
        <v>43</v>
      </c>
      <c r="AE13" s="685" t="s">
        <v>414</v>
      </c>
      <c r="AF13" s="644">
        <v>0</v>
      </c>
      <c r="AG13" s="650">
        <v>0</v>
      </c>
      <c r="AH13" s="195"/>
      <c r="AI13" s="196">
        <v>1</v>
      </c>
      <c r="AJ13" s="156">
        <v>1</v>
      </c>
      <c r="AK13" s="197"/>
      <c r="AL13" s="196">
        <v>1</v>
      </c>
      <c r="AM13" s="156">
        <v>1</v>
      </c>
      <c r="AN13" s="198"/>
      <c r="AO13" s="196"/>
      <c r="AP13" s="156"/>
      <c r="AQ13" s="198"/>
      <c r="AR13" s="1827"/>
      <c r="AS13" s="1830"/>
    </row>
    <row r="14" spans="1:47" s="114" customFormat="1" ht="67.5" customHeight="1" thickBot="1" x14ac:dyDescent="0.3">
      <c r="A14" s="1667"/>
      <c r="B14" s="1677"/>
      <c r="C14" s="1681"/>
      <c r="D14" s="1820"/>
      <c r="E14" s="533" t="s">
        <v>623</v>
      </c>
      <c r="F14" s="486" t="s">
        <v>650</v>
      </c>
      <c r="G14" s="533">
        <v>4</v>
      </c>
      <c r="H14" s="429">
        <v>0.25</v>
      </c>
      <c r="I14" s="429" t="s">
        <v>42</v>
      </c>
      <c r="J14" s="217" t="s">
        <v>40</v>
      </c>
      <c r="K14" s="540">
        <v>1</v>
      </c>
      <c r="L14" s="486">
        <f t="shared" si="0"/>
        <v>1</v>
      </c>
      <c r="M14" s="608">
        <f t="shared" ref="M14" si="5">IF(ISERROR(L14/K14),0,(L14/K14))</f>
        <v>1</v>
      </c>
      <c r="N14" s="540">
        <v>1</v>
      </c>
      <c r="O14" s="486">
        <f t="shared" si="1"/>
        <v>1</v>
      </c>
      <c r="P14" s="608">
        <f t="shared" ref="P14" si="6">IF(ISERROR(O14/N14),0,(O14/N14))</f>
        <v>1</v>
      </c>
      <c r="Q14" s="540">
        <v>1</v>
      </c>
      <c r="R14" s="486">
        <f t="shared" ref="R14" si="7">IF(I14="Cantidad",AL14,IF(ISERROR(AL14/AM14),0,AL14/AM14))</f>
        <v>1</v>
      </c>
      <c r="S14" s="158">
        <f t="shared" ref="S14" si="8">IF(ISERROR(R14/Q14),0,(R14/Q14))</f>
        <v>1</v>
      </c>
      <c r="T14" s="540">
        <v>1</v>
      </c>
      <c r="U14" s="486">
        <f t="shared" ref="U14" si="9">IF(I14="Cantidad",AO14,IF(ISERROR(AO14/AP14),0,AO14/AP14))</f>
        <v>0</v>
      </c>
      <c r="V14" s="608">
        <f t="shared" ref="V14" si="10">IF(ISERROR(U14/T14),0,(U14/T14))</f>
        <v>0</v>
      </c>
      <c r="W14" s="1412">
        <f>IF(J14="SUMA",(K14+N14+Q14+T14),(K14))</f>
        <v>4</v>
      </c>
      <c r="X14" s="486">
        <f t="shared" ref="X14" si="11">IF(ISERROR(AVERAGE(L14,O14,R14,U14)),0,IF(J14="Suma",(L14+O14+R14+U14),AVERAGE(L14,O14,R14,U14)))</f>
        <v>3</v>
      </c>
      <c r="Y14" s="158">
        <f t="shared" ref="Y14" si="12">IF(ISERROR(X14/W14),0,(X14/W14))</f>
        <v>0.75</v>
      </c>
      <c r="Z14" s="1409">
        <f t="shared" si="4"/>
        <v>0.1875</v>
      </c>
      <c r="AA14" s="767" t="s">
        <v>555</v>
      </c>
      <c r="AB14" s="812" t="s">
        <v>421</v>
      </c>
      <c r="AC14" s="812" t="s">
        <v>422</v>
      </c>
      <c r="AD14" s="334" t="s">
        <v>43</v>
      </c>
      <c r="AE14" s="330" t="s">
        <v>736</v>
      </c>
      <c r="AF14" s="681">
        <v>1</v>
      </c>
      <c r="AG14" s="486">
        <v>1</v>
      </c>
      <c r="AH14" s="164"/>
      <c r="AI14" s="165">
        <v>1</v>
      </c>
      <c r="AJ14" s="166">
        <v>1</v>
      </c>
      <c r="AK14" s="167"/>
      <c r="AL14" s="165">
        <v>1</v>
      </c>
      <c r="AM14" s="166">
        <v>1</v>
      </c>
      <c r="AN14" s="168"/>
      <c r="AO14" s="165"/>
      <c r="AP14" s="166"/>
      <c r="AQ14" s="168"/>
      <c r="AR14" s="1827"/>
      <c r="AS14" s="1830"/>
    </row>
    <row r="15" spans="1:47" s="114" customFormat="1" ht="73.5" customHeight="1" x14ac:dyDescent="0.25">
      <c r="A15" s="1667"/>
      <c r="B15" s="1689">
        <v>6</v>
      </c>
      <c r="C15" s="1668" t="s">
        <v>719</v>
      </c>
      <c r="D15" s="1821">
        <v>0.5</v>
      </c>
      <c r="E15" s="531" t="s">
        <v>722</v>
      </c>
      <c r="F15" s="528" t="s">
        <v>261</v>
      </c>
      <c r="G15" s="528">
        <v>4</v>
      </c>
      <c r="H15" s="544">
        <v>0.25</v>
      </c>
      <c r="I15" s="544" t="s">
        <v>42</v>
      </c>
      <c r="J15" s="213" t="s">
        <v>40</v>
      </c>
      <c r="K15" s="527">
        <v>1</v>
      </c>
      <c r="L15" s="528">
        <f>IF(I15="Cantidad",AF15,IF(ISERROR(AF15/AG15),0,AF15/AG15))</f>
        <v>1</v>
      </c>
      <c r="M15" s="606">
        <f>IF(ISERROR(L15/K15),0,(L15/K15))</f>
        <v>1</v>
      </c>
      <c r="N15" s="538">
        <v>1</v>
      </c>
      <c r="O15" s="528">
        <f t="shared" si="1"/>
        <v>1</v>
      </c>
      <c r="P15" s="606">
        <f>IF(ISERROR(O15/N15),0,(O15/N15))</f>
        <v>1</v>
      </c>
      <c r="Q15" s="538">
        <v>1</v>
      </c>
      <c r="R15" s="528">
        <f>IF(I15="Cantidad",AL15,IF(ISERROR(AL15/AM15),0,AL15/AM15))</f>
        <v>1</v>
      </c>
      <c r="S15" s="128">
        <f>IF(ISERROR(R15/Q15),0,(R15/Q15))</f>
        <v>1</v>
      </c>
      <c r="T15" s="538">
        <v>1</v>
      </c>
      <c r="U15" s="528">
        <f>IF(I15="Cantidad",AO15,IF(ISERROR(AO15/AP15),0,AO15/AP15))</f>
        <v>0</v>
      </c>
      <c r="V15" s="128">
        <f>IF(ISERROR(U15/T15),0,(U15/T15))</f>
        <v>0</v>
      </c>
      <c r="W15" s="1410">
        <f>IF(J15="SUMA",(K15+N15+Q15+T15),(K15))</f>
        <v>4</v>
      </c>
      <c r="X15" s="1387">
        <f t="shared" si="2"/>
        <v>3</v>
      </c>
      <c r="Y15" s="182">
        <f t="shared" si="3"/>
        <v>0.75</v>
      </c>
      <c r="Z15" s="764">
        <f t="shared" si="4"/>
        <v>0.1875</v>
      </c>
      <c r="AA15" s="131" t="s">
        <v>377</v>
      </c>
      <c r="AB15" s="531" t="s">
        <v>523</v>
      </c>
      <c r="AC15" s="531" t="s">
        <v>524</v>
      </c>
      <c r="AD15" s="132" t="s">
        <v>43</v>
      </c>
      <c r="AE15" s="885" t="s">
        <v>415</v>
      </c>
      <c r="AF15" s="643">
        <v>1</v>
      </c>
      <c r="AG15" s="649">
        <v>1</v>
      </c>
      <c r="AH15" s="134"/>
      <c r="AI15" s="773">
        <v>1</v>
      </c>
      <c r="AJ15" s="157">
        <v>1</v>
      </c>
      <c r="AK15" s="137"/>
      <c r="AL15" s="773">
        <v>1</v>
      </c>
      <c r="AM15" s="157">
        <v>1</v>
      </c>
      <c r="AN15" s="138"/>
      <c r="AO15" s="773"/>
      <c r="AP15" s="157"/>
      <c r="AQ15" s="138"/>
      <c r="AR15" s="1827"/>
      <c r="AS15" s="1830"/>
    </row>
    <row r="16" spans="1:47" s="114" customFormat="1" ht="75" customHeight="1" x14ac:dyDescent="0.25">
      <c r="A16" s="1667"/>
      <c r="B16" s="1690"/>
      <c r="C16" s="1669"/>
      <c r="D16" s="1822"/>
      <c r="E16" s="532" t="s">
        <v>723</v>
      </c>
      <c r="F16" s="537" t="s">
        <v>260</v>
      </c>
      <c r="G16" s="537">
        <v>11</v>
      </c>
      <c r="H16" s="545">
        <v>0.25</v>
      </c>
      <c r="I16" s="545" t="s">
        <v>42</v>
      </c>
      <c r="J16" s="214" t="s">
        <v>40</v>
      </c>
      <c r="K16" s="535">
        <v>2</v>
      </c>
      <c r="L16" s="537">
        <f t="shared" ref="L16:L18" si="13">IF(I16="Cantidad",AF16,IF(ISERROR(AF16/AG16),0,AF16/AG16))</f>
        <v>2</v>
      </c>
      <c r="M16" s="607">
        <f t="shared" ref="M16:M18" si="14">IF(ISERROR(L16/K16),0,(L16/K16))</f>
        <v>1</v>
      </c>
      <c r="N16" s="539">
        <v>3</v>
      </c>
      <c r="O16" s="537">
        <f t="shared" si="1"/>
        <v>3</v>
      </c>
      <c r="P16" s="607">
        <f t="shared" ref="P16:P18" si="15">IF(ISERROR(O16/N16),0,(O16/N16))</f>
        <v>1</v>
      </c>
      <c r="Q16" s="539">
        <v>3</v>
      </c>
      <c r="R16" s="537">
        <f t="shared" ref="R16:R18" si="16">IF(I16="Cantidad",AL16,IF(ISERROR(AL16/AM16),0,AL16/AM16))</f>
        <v>3</v>
      </c>
      <c r="S16" s="190">
        <f t="shared" ref="S16:S18" si="17">IF(ISERROR(R16/Q16),0,(R16/Q16))</f>
        <v>1</v>
      </c>
      <c r="T16" s="539">
        <v>3</v>
      </c>
      <c r="U16" s="537">
        <f t="shared" ref="U16:U18" si="18">IF(I16="Cantidad",AO16,IF(ISERROR(AO16/AP16),0,AO16/AP16))</f>
        <v>0</v>
      </c>
      <c r="V16" s="190">
        <f t="shared" ref="V16:V18" si="19">IF(ISERROR(U16/T16),0,(U16/T16))</f>
        <v>0</v>
      </c>
      <c r="W16" s="199">
        <f t="shared" ref="W16:W18" si="20">IF(J16="SUMA",(K16+N16+Q16+T16),(K16))</f>
        <v>11</v>
      </c>
      <c r="X16" s="537">
        <f t="shared" ref="X16:X18" si="21">IF(ISERROR(AVERAGE(L16,O16,R16,U16)),0,IF(J16="Suma",(L16+O16+R16+U16),AVERAGE(L16,O16,R16,U16)))</f>
        <v>8</v>
      </c>
      <c r="Y16" s="190">
        <f t="shared" ref="Y16:Y18" si="22">IF(ISERROR(X16/W16),0,(X16/W16))</f>
        <v>0.72727272727272729</v>
      </c>
      <c r="Z16" s="768">
        <f t="shared" si="4"/>
        <v>0.18181818181818182</v>
      </c>
      <c r="AA16" s="192" t="s">
        <v>378</v>
      </c>
      <c r="AB16" s="532" t="s">
        <v>525</v>
      </c>
      <c r="AC16" s="532" t="s">
        <v>526</v>
      </c>
      <c r="AD16" s="193" t="s">
        <v>43</v>
      </c>
      <c r="AE16" s="686" t="s">
        <v>417</v>
      </c>
      <c r="AF16" s="644">
        <v>2</v>
      </c>
      <c r="AG16" s="650">
        <v>2</v>
      </c>
      <c r="AH16" s="195"/>
      <c r="AI16" s="196">
        <v>3</v>
      </c>
      <c r="AJ16" s="156">
        <v>3</v>
      </c>
      <c r="AK16" s="197"/>
      <c r="AL16" s="196">
        <v>3</v>
      </c>
      <c r="AM16" s="156">
        <v>3</v>
      </c>
      <c r="AN16" s="198"/>
      <c r="AO16" s="196"/>
      <c r="AP16" s="156"/>
      <c r="AQ16" s="198"/>
      <c r="AR16" s="1827"/>
      <c r="AS16" s="1830"/>
    </row>
    <row r="17" spans="1:45" s="114" customFormat="1" ht="69.75" customHeight="1" x14ac:dyDescent="0.25">
      <c r="A17" s="1667"/>
      <c r="B17" s="1690"/>
      <c r="C17" s="1669"/>
      <c r="D17" s="1822"/>
      <c r="E17" s="532" t="s">
        <v>724</v>
      </c>
      <c r="F17" s="537" t="s">
        <v>527</v>
      </c>
      <c r="G17" s="545">
        <v>1</v>
      </c>
      <c r="H17" s="545">
        <v>0.25</v>
      </c>
      <c r="I17" s="545" t="s">
        <v>39</v>
      </c>
      <c r="J17" s="214" t="s">
        <v>106</v>
      </c>
      <c r="K17" s="189">
        <v>1</v>
      </c>
      <c r="L17" s="815">
        <f t="shared" si="13"/>
        <v>1</v>
      </c>
      <c r="M17" s="607">
        <f t="shared" si="14"/>
        <v>1</v>
      </c>
      <c r="N17" s="189">
        <v>1</v>
      </c>
      <c r="O17" s="815">
        <f t="shared" si="1"/>
        <v>1</v>
      </c>
      <c r="P17" s="607">
        <f t="shared" si="15"/>
        <v>1</v>
      </c>
      <c r="Q17" s="189">
        <v>1</v>
      </c>
      <c r="R17" s="815">
        <f>IF(I17="Cantidad",AL17,IF(ISERROR(AL17/AM17),0,AL17/AM17))</f>
        <v>1</v>
      </c>
      <c r="S17" s="190">
        <f t="shared" si="17"/>
        <v>1</v>
      </c>
      <c r="T17" s="189">
        <v>1</v>
      </c>
      <c r="U17" s="815">
        <f t="shared" si="18"/>
        <v>0</v>
      </c>
      <c r="V17" s="190">
        <f t="shared" si="19"/>
        <v>0</v>
      </c>
      <c r="W17" s="763">
        <f>IF(J17="PORCENTAJE",(K17+N17+Q17+T17),(K17))</f>
        <v>1</v>
      </c>
      <c r="X17" s="815">
        <f t="shared" si="21"/>
        <v>0.75</v>
      </c>
      <c r="Y17" s="190">
        <f t="shared" si="22"/>
        <v>0.75</v>
      </c>
      <c r="Z17" s="768">
        <f t="shared" si="4"/>
        <v>0.1875</v>
      </c>
      <c r="AA17" s="192" t="s">
        <v>528</v>
      </c>
      <c r="AB17" s="532" t="s">
        <v>356</v>
      </c>
      <c r="AC17" s="532" t="s">
        <v>529</v>
      </c>
      <c r="AD17" s="193" t="s">
        <v>43</v>
      </c>
      <c r="AE17" s="686" t="s">
        <v>419</v>
      </c>
      <c r="AF17" s="644">
        <v>5</v>
      </c>
      <c r="AG17" s="650">
        <v>5</v>
      </c>
      <c r="AH17" s="195"/>
      <c r="AI17" s="196">
        <v>8</v>
      </c>
      <c r="AJ17" s="156">
        <v>8</v>
      </c>
      <c r="AK17" s="197"/>
      <c r="AL17" s="196">
        <v>8</v>
      </c>
      <c r="AM17" s="156">
        <v>8</v>
      </c>
      <c r="AN17" s="198"/>
      <c r="AO17" s="196"/>
      <c r="AP17" s="156"/>
      <c r="AQ17" s="198"/>
      <c r="AR17" s="1827"/>
      <c r="AS17" s="1830"/>
    </row>
    <row r="18" spans="1:45" s="114" customFormat="1" ht="48" thickBot="1" x14ac:dyDescent="0.3">
      <c r="A18" s="1682"/>
      <c r="B18" s="1691"/>
      <c r="C18" s="1681"/>
      <c r="D18" s="1823"/>
      <c r="E18" s="536" t="s">
        <v>752</v>
      </c>
      <c r="F18" s="170" t="s">
        <v>531</v>
      </c>
      <c r="G18" s="170">
        <v>2</v>
      </c>
      <c r="H18" s="772">
        <v>0.25</v>
      </c>
      <c r="I18" s="429" t="s">
        <v>42</v>
      </c>
      <c r="J18" s="217" t="s">
        <v>40</v>
      </c>
      <c r="K18" s="478">
        <v>1</v>
      </c>
      <c r="L18" s="486">
        <f t="shared" si="13"/>
        <v>1</v>
      </c>
      <c r="M18" s="608">
        <f t="shared" si="14"/>
        <v>1</v>
      </c>
      <c r="N18" s="540">
        <v>1</v>
      </c>
      <c r="O18" s="486">
        <f t="shared" si="1"/>
        <v>1</v>
      </c>
      <c r="P18" s="608">
        <f t="shared" si="15"/>
        <v>1</v>
      </c>
      <c r="Q18" s="540">
        <v>1</v>
      </c>
      <c r="R18" s="486">
        <f t="shared" si="16"/>
        <v>1</v>
      </c>
      <c r="S18" s="158">
        <f t="shared" si="17"/>
        <v>1</v>
      </c>
      <c r="T18" s="540">
        <v>1</v>
      </c>
      <c r="U18" s="486">
        <f t="shared" si="18"/>
        <v>0</v>
      </c>
      <c r="V18" s="158">
        <f t="shared" si="19"/>
        <v>0</v>
      </c>
      <c r="W18" s="159">
        <f t="shared" si="20"/>
        <v>4</v>
      </c>
      <c r="X18" s="486">
        <f t="shared" si="21"/>
        <v>3</v>
      </c>
      <c r="Y18" s="158">
        <f t="shared" si="22"/>
        <v>0.75</v>
      </c>
      <c r="Z18" s="769">
        <f t="shared" si="4"/>
        <v>0.1875</v>
      </c>
      <c r="AA18" s="161" t="s">
        <v>530</v>
      </c>
      <c r="AB18" s="533" t="s">
        <v>352</v>
      </c>
      <c r="AC18" s="533" t="s">
        <v>353</v>
      </c>
      <c r="AD18" s="162" t="s">
        <v>43</v>
      </c>
      <c r="AE18" s="687" t="s">
        <v>418</v>
      </c>
      <c r="AF18" s="681">
        <v>1</v>
      </c>
      <c r="AG18" s="486">
        <v>1</v>
      </c>
      <c r="AH18" s="164"/>
      <c r="AI18" s="165">
        <v>1</v>
      </c>
      <c r="AJ18" s="166">
        <v>1</v>
      </c>
      <c r="AK18" s="167"/>
      <c r="AL18" s="165">
        <v>1</v>
      </c>
      <c r="AM18" s="166">
        <v>1</v>
      </c>
      <c r="AN18" s="168"/>
      <c r="AO18" s="165"/>
      <c r="AP18" s="166"/>
      <c r="AQ18" s="168"/>
      <c r="AR18" s="1828"/>
      <c r="AS18" s="1831"/>
    </row>
    <row r="19" spans="1:45" s="114" customFormat="1" x14ac:dyDescent="0.25">
      <c r="A19" s="106"/>
      <c r="B19" s="106"/>
      <c r="C19" s="106"/>
      <c r="D19" s="771">
        <f>SUM(D11:D18)</f>
        <v>1</v>
      </c>
      <c r="E19" s="106"/>
      <c r="F19" s="106"/>
      <c r="G19" s="106"/>
      <c r="H19" s="171">
        <f>SUM(H15:H18)</f>
        <v>1</v>
      </c>
      <c r="I19" s="106"/>
      <c r="J19" s="106"/>
      <c r="K19" s="106"/>
      <c r="L19" s="106"/>
      <c r="M19" s="106"/>
      <c r="N19" s="106"/>
      <c r="O19" s="106"/>
      <c r="P19" s="106"/>
      <c r="Q19" s="106"/>
      <c r="R19" s="106"/>
      <c r="S19" s="106"/>
      <c r="T19" s="106"/>
      <c r="U19" s="106"/>
      <c r="V19" s="106"/>
      <c r="W19" s="106"/>
      <c r="X19" s="106"/>
      <c r="Y19" s="106"/>
      <c r="Z19" s="106"/>
      <c r="AA19" s="106"/>
      <c r="AB19" s="106"/>
      <c r="AC19" s="106"/>
      <c r="AD19" s="106"/>
      <c r="AF19" s="106"/>
      <c r="AG19" s="106"/>
      <c r="AH19" s="106"/>
    </row>
    <row r="20" spans="1:45" s="114" customFormat="1" x14ac:dyDescent="0.25">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F20" s="106"/>
      <c r="AG20" s="106"/>
      <c r="AH20" s="106"/>
    </row>
    <row r="21" spans="1:45" s="114" customFormat="1" x14ac:dyDescent="0.25">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F21" s="106"/>
      <c r="AG21" s="106"/>
      <c r="AH21" s="106"/>
    </row>
    <row r="22" spans="1:45" s="114" customFormat="1" x14ac:dyDescent="0.25">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F22" s="106"/>
      <c r="AG22" s="106"/>
      <c r="AH22" s="106"/>
    </row>
    <row r="23" spans="1:45" s="114" customFormat="1" x14ac:dyDescent="0.25">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F23" s="106"/>
      <c r="AG23" s="106"/>
      <c r="AH23" s="106"/>
    </row>
    <row r="24" spans="1:45" s="114" customFormat="1" x14ac:dyDescent="0.25">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F24" s="106"/>
      <c r="AG24" s="106"/>
      <c r="AH24" s="106"/>
    </row>
    <row r="25" spans="1:45" s="114" customFormat="1" x14ac:dyDescent="0.25">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F25" s="106"/>
      <c r="AG25" s="106"/>
      <c r="AH25" s="106"/>
    </row>
    <row r="26" spans="1:45" s="114" customFormat="1" x14ac:dyDescent="0.25">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F26" s="106"/>
      <c r="AG26" s="106"/>
      <c r="AH26" s="106"/>
    </row>
    <row r="27" spans="1:45" s="114" customFormat="1" x14ac:dyDescent="0.25">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F27" s="106"/>
      <c r="AG27" s="106"/>
      <c r="AH27" s="106"/>
    </row>
    <row r="28" spans="1:45" s="114" customFormat="1" x14ac:dyDescent="0.25">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F28" s="106"/>
      <c r="AG28" s="106"/>
      <c r="AH28" s="106"/>
    </row>
    <row r="29" spans="1:45" s="114" customFormat="1" x14ac:dyDescent="0.25">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F29" s="106"/>
      <c r="AG29" s="106"/>
      <c r="AH29" s="106"/>
    </row>
    <row r="30" spans="1:45" s="114" customFormat="1" x14ac:dyDescent="0.25">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F30" s="106"/>
      <c r="AG30" s="106"/>
      <c r="AH30" s="106"/>
    </row>
    <row r="31" spans="1:45" s="114" customFormat="1" x14ac:dyDescent="0.25">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F31" s="106"/>
      <c r="AG31" s="106"/>
      <c r="AH31" s="106"/>
    </row>
    <row r="32" spans="1:45" s="114" customFormat="1" x14ac:dyDescent="0.2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F32" s="106"/>
      <c r="AG32" s="106"/>
      <c r="AH32" s="106"/>
    </row>
    <row r="33" spans="1:34" s="114" customFormat="1" x14ac:dyDescent="0.25">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F33" s="106"/>
      <c r="AG33" s="106"/>
      <c r="AH33" s="106"/>
    </row>
    <row r="34" spans="1:34" s="114" customFormat="1" x14ac:dyDescent="0.2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F34" s="106"/>
      <c r="AG34" s="106"/>
      <c r="AH34" s="106"/>
    </row>
    <row r="35" spans="1:34" s="114" customFormat="1" x14ac:dyDescent="0.25">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F35" s="106"/>
      <c r="AG35" s="106"/>
      <c r="AH35" s="106"/>
    </row>
    <row r="36" spans="1:34" s="114" customFormat="1" x14ac:dyDescent="0.25">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F36" s="106"/>
      <c r="AG36" s="106"/>
      <c r="AH36" s="106"/>
    </row>
    <row r="37" spans="1:34" s="114" customFormat="1" x14ac:dyDescent="0.25">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F37" s="106"/>
      <c r="AG37" s="106"/>
      <c r="AH37" s="106"/>
    </row>
    <row r="38" spans="1:34" s="114" customFormat="1" x14ac:dyDescent="0.25">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F38" s="106"/>
      <c r="AG38" s="106"/>
      <c r="AH38" s="106"/>
    </row>
    <row r="39" spans="1:34" s="114" customFormat="1" x14ac:dyDescent="0.25">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F39" s="106"/>
      <c r="AG39" s="106"/>
      <c r="AH39" s="106"/>
    </row>
    <row r="40" spans="1:34" s="114" customFormat="1" x14ac:dyDescent="0.25">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F40" s="106"/>
      <c r="AG40" s="106"/>
      <c r="AH40" s="106"/>
    </row>
    <row r="41" spans="1:34" s="114" customFormat="1" x14ac:dyDescent="0.25">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F41" s="106"/>
      <c r="AG41" s="106"/>
      <c r="AH41" s="106"/>
    </row>
    <row r="42" spans="1:34" s="114" customFormat="1" x14ac:dyDescent="0.25">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F42" s="106"/>
      <c r="AG42" s="106"/>
      <c r="AH42" s="106"/>
    </row>
    <row r="43" spans="1:34" s="114" customFormat="1" x14ac:dyDescent="0.25">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F43" s="106"/>
      <c r="AG43" s="106"/>
      <c r="AH43" s="106"/>
    </row>
    <row r="44" spans="1:34" s="114" customFormat="1" x14ac:dyDescent="0.25">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F44" s="106"/>
      <c r="AG44" s="106"/>
      <c r="AH44" s="106"/>
    </row>
    <row r="45" spans="1:34" s="114" customFormat="1" x14ac:dyDescent="0.2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F45" s="106"/>
      <c r="AG45" s="106"/>
      <c r="AH45" s="106"/>
    </row>
    <row r="46" spans="1:34" s="114" customFormat="1" x14ac:dyDescent="0.25">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F46" s="106"/>
      <c r="AG46" s="106"/>
      <c r="AH46" s="106"/>
    </row>
    <row r="47" spans="1:34" s="114" customFormat="1" x14ac:dyDescent="0.25">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F47" s="106"/>
      <c r="AG47" s="106"/>
      <c r="AH47" s="106"/>
    </row>
    <row r="48" spans="1:34" s="114" customFormat="1" x14ac:dyDescent="0.25">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F48" s="106"/>
      <c r="AG48" s="106"/>
      <c r="AH48" s="106"/>
    </row>
    <row r="49" spans="1:34" s="114" customFormat="1" x14ac:dyDescent="0.25">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F49" s="106"/>
      <c r="AG49" s="106"/>
      <c r="AH49" s="106"/>
    </row>
    <row r="50" spans="1:34" s="114" customFormat="1" x14ac:dyDescent="0.25">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F50" s="106"/>
      <c r="AG50" s="106"/>
      <c r="AH50" s="106"/>
    </row>
    <row r="51" spans="1:34" s="114" customFormat="1" x14ac:dyDescent="0.25">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F51" s="106"/>
      <c r="AG51" s="106"/>
      <c r="AH51" s="106"/>
    </row>
    <row r="52" spans="1:34" s="114" customFormat="1" x14ac:dyDescent="0.25">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F52" s="106"/>
      <c r="AG52" s="106"/>
      <c r="AH52" s="106"/>
    </row>
    <row r="53" spans="1:34" s="114" customFormat="1" x14ac:dyDescent="0.25">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F53" s="106"/>
      <c r="AG53" s="106"/>
      <c r="AH53" s="106"/>
    </row>
    <row r="54" spans="1:34" s="114" customFormat="1" x14ac:dyDescent="0.25">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F54" s="106"/>
      <c r="AG54" s="106"/>
      <c r="AH54" s="106"/>
    </row>
    <row r="55" spans="1:34" s="114" customFormat="1" x14ac:dyDescent="0.25">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F55" s="106"/>
      <c r="AG55" s="106"/>
      <c r="AH55" s="106"/>
    </row>
    <row r="56" spans="1:34" s="114" customFormat="1" x14ac:dyDescent="0.25">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F56" s="106"/>
      <c r="AG56" s="106"/>
      <c r="AH56" s="106"/>
    </row>
    <row r="57" spans="1:34" s="114" customFormat="1" x14ac:dyDescent="0.25">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F57" s="106"/>
      <c r="AG57" s="106"/>
      <c r="AH57" s="106"/>
    </row>
    <row r="58" spans="1:34" s="114" customFormat="1" x14ac:dyDescent="0.25">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F58" s="106"/>
      <c r="AG58" s="106"/>
      <c r="AH58" s="106"/>
    </row>
    <row r="59" spans="1:34" s="114" customFormat="1" x14ac:dyDescent="0.25">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F59" s="106"/>
      <c r="AG59" s="106"/>
      <c r="AH59" s="106"/>
    </row>
    <row r="60" spans="1:34" s="114" customFormat="1" x14ac:dyDescent="0.25">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F60" s="106"/>
      <c r="AG60" s="106"/>
      <c r="AH60" s="106"/>
    </row>
    <row r="61" spans="1:34" s="114" customFormat="1" x14ac:dyDescent="0.25">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F61" s="106"/>
      <c r="AG61" s="106"/>
      <c r="AH61" s="106"/>
    </row>
    <row r="62" spans="1:34" s="114" customFormat="1" x14ac:dyDescent="0.25">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F62" s="106"/>
      <c r="AG62" s="106"/>
      <c r="AH62" s="106"/>
    </row>
    <row r="63" spans="1:34" s="114" customFormat="1" x14ac:dyDescent="0.25">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F63" s="106"/>
      <c r="AG63" s="106"/>
      <c r="AH63" s="106"/>
    </row>
    <row r="64" spans="1:34" s="114" customFormat="1" x14ac:dyDescent="0.25">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F64" s="106"/>
      <c r="AG64" s="106"/>
      <c r="AH64" s="106"/>
    </row>
    <row r="65" spans="1:34" s="114" customFormat="1" x14ac:dyDescent="0.25">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F65" s="106"/>
      <c r="AG65" s="106"/>
      <c r="AH65" s="106"/>
    </row>
    <row r="66" spans="1:34" s="114" customFormat="1" x14ac:dyDescent="0.25">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F66" s="106"/>
      <c r="AG66" s="106"/>
      <c r="AH66" s="106"/>
    </row>
    <row r="67" spans="1:34" s="114" customFormat="1" x14ac:dyDescent="0.25">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F67" s="106"/>
      <c r="AG67" s="106"/>
      <c r="AH67" s="106"/>
    </row>
    <row r="68" spans="1:34" s="114" customFormat="1" x14ac:dyDescent="0.25">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F68" s="106"/>
      <c r="AG68" s="106"/>
      <c r="AH68" s="106"/>
    </row>
    <row r="69" spans="1:34" s="114" customFormat="1" x14ac:dyDescent="0.25">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F69" s="106"/>
      <c r="AG69" s="106"/>
      <c r="AH69" s="106"/>
    </row>
    <row r="70" spans="1:34" s="114" customFormat="1" x14ac:dyDescent="0.25">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F70" s="106"/>
      <c r="AG70" s="106"/>
      <c r="AH70" s="106"/>
    </row>
    <row r="71" spans="1:34" s="114" customFormat="1" x14ac:dyDescent="0.25">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F71" s="106"/>
      <c r="AG71" s="106"/>
      <c r="AH71" s="106"/>
    </row>
    <row r="72" spans="1:34" s="114" customFormat="1" x14ac:dyDescent="0.25">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F72" s="106"/>
      <c r="AG72" s="106"/>
      <c r="AH72" s="106"/>
    </row>
    <row r="73" spans="1:34" s="114" customFormat="1" x14ac:dyDescent="0.25">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F73" s="106"/>
      <c r="AG73" s="106"/>
      <c r="AH73" s="106"/>
    </row>
    <row r="74" spans="1:34" s="114" customFormat="1" x14ac:dyDescent="0.25">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F74" s="106"/>
      <c r="AG74" s="106"/>
      <c r="AH74" s="106"/>
    </row>
    <row r="75" spans="1:34" s="114" customFormat="1" x14ac:dyDescent="0.25">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F75" s="106"/>
      <c r="AG75" s="106"/>
      <c r="AH75" s="106"/>
    </row>
    <row r="76" spans="1:34" s="114" customFormat="1" x14ac:dyDescent="0.25">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F76" s="106"/>
      <c r="AG76" s="106"/>
      <c r="AH76" s="106"/>
    </row>
    <row r="77" spans="1:34" s="114" customFormat="1" x14ac:dyDescent="0.25">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F77" s="106"/>
      <c r="AG77" s="106"/>
      <c r="AH77" s="106"/>
    </row>
    <row r="78" spans="1:34" s="114" customFormat="1" x14ac:dyDescent="0.25">
      <c r="A78" s="106"/>
      <c r="B78" s="106"/>
      <c r="C78" s="172"/>
      <c r="D78" s="172"/>
      <c r="E78" s="172"/>
      <c r="F78" s="172"/>
      <c r="G78" s="172"/>
      <c r="H78" s="106"/>
      <c r="I78" s="173"/>
      <c r="J78" s="106"/>
      <c r="K78" s="106"/>
      <c r="L78" s="106"/>
      <c r="M78" s="106"/>
      <c r="N78" s="106"/>
      <c r="O78" s="106"/>
      <c r="P78" s="106"/>
      <c r="Q78" s="106"/>
      <c r="R78" s="106"/>
      <c r="S78" s="106"/>
      <c r="T78" s="106"/>
      <c r="U78" s="106"/>
      <c r="V78" s="106"/>
      <c r="W78" s="106"/>
      <c r="X78" s="106"/>
      <c r="Y78" s="106"/>
      <c r="Z78" s="106"/>
      <c r="AA78" s="106"/>
      <c r="AB78" s="106"/>
      <c r="AC78" s="106"/>
      <c r="AD78" s="106"/>
      <c r="AF78" s="106"/>
      <c r="AG78" s="106"/>
      <c r="AH78" s="106"/>
    </row>
    <row r="79" spans="1:34" s="114" customFormat="1" x14ac:dyDescent="0.25">
      <c r="A79" s="106"/>
      <c r="B79" s="106"/>
      <c r="C79" s="172"/>
      <c r="D79" s="172"/>
      <c r="E79" s="172"/>
      <c r="F79" s="172"/>
      <c r="G79" s="172"/>
      <c r="H79" s="106"/>
      <c r="I79" s="173"/>
      <c r="J79" s="106"/>
      <c r="K79" s="106"/>
      <c r="L79" s="106"/>
      <c r="M79" s="106"/>
      <c r="N79" s="106"/>
      <c r="O79" s="106"/>
      <c r="P79" s="106"/>
      <c r="Q79" s="106"/>
      <c r="R79" s="106"/>
      <c r="S79" s="106"/>
      <c r="T79" s="106"/>
      <c r="U79" s="106"/>
      <c r="V79" s="106"/>
      <c r="W79" s="106"/>
      <c r="X79" s="106"/>
      <c r="Y79" s="106"/>
      <c r="Z79" s="106"/>
      <c r="AA79" s="106"/>
      <c r="AB79" s="106"/>
      <c r="AC79" s="106"/>
      <c r="AD79" s="106"/>
      <c r="AF79" s="106"/>
      <c r="AG79" s="106"/>
      <c r="AH79" s="106"/>
    </row>
    <row r="80" spans="1:34" s="114" customFormat="1" x14ac:dyDescent="0.25">
      <c r="A80" s="106"/>
      <c r="B80" s="106"/>
      <c r="C80" s="172"/>
      <c r="D80" s="172"/>
      <c r="E80" s="172"/>
      <c r="F80" s="172"/>
      <c r="G80" s="172"/>
      <c r="H80" s="106"/>
      <c r="I80" s="173"/>
      <c r="J80" s="106"/>
      <c r="K80" s="106"/>
      <c r="L80" s="106"/>
      <c r="M80" s="106"/>
      <c r="N80" s="106"/>
      <c r="O80" s="106"/>
      <c r="P80" s="106"/>
      <c r="Q80" s="106"/>
      <c r="R80" s="106"/>
      <c r="S80" s="106"/>
      <c r="T80" s="106"/>
      <c r="U80" s="106"/>
      <c r="V80" s="106"/>
      <c r="W80" s="106"/>
      <c r="X80" s="106"/>
      <c r="Y80" s="106"/>
      <c r="Z80" s="106"/>
      <c r="AA80" s="106"/>
      <c r="AB80" s="106"/>
      <c r="AC80" s="106"/>
      <c r="AD80" s="106"/>
      <c r="AF80" s="106"/>
      <c r="AG80" s="106"/>
      <c r="AH80" s="106"/>
    </row>
    <row r="81" spans="1:59" s="114" customFormat="1" x14ac:dyDescent="0.25">
      <c r="A81" s="106"/>
      <c r="B81" s="106"/>
      <c r="C81" s="172"/>
      <c r="D81" s="172"/>
      <c r="E81" s="172"/>
      <c r="F81" s="172"/>
      <c r="G81" s="172"/>
      <c r="H81" s="106"/>
      <c r="I81" s="173"/>
      <c r="J81" s="174"/>
      <c r="K81" s="106"/>
      <c r="L81" s="106"/>
      <c r="M81" s="106"/>
      <c r="N81" s="106"/>
      <c r="O81" s="106"/>
      <c r="P81" s="106"/>
      <c r="Q81" s="106"/>
      <c r="R81" s="106"/>
      <c r="S81" s="106"/>
      <c r="T81" s="106"/>
      <c r="U81" s="106"/>
      <c r="V81" s="106"/>
      <c r="W81" s="106"/>
      <c r="X81" s="106"/>
      <c r="Y81" s="106"/>
      <c r="Z81" s="106"/>
      <c r="AA81" s="106"/>
      <c r="AB81" s="106"/>
      <c r="AC81" s="106"/>
      <c r="AD81" s="106"/>
      <c r="AF81" s="106"/>
      <c r="AG81" s="106"/>
      <c r="AH81" s="106"/>
    </row>
    <row r="82" spans="1:59" s="114" customFormat="1" x14ac:dyDescent="0.25">
      <c r="A82" s="106"/>
      <c r="B82" s="106"/>
      <c r="C82" s="106"/>
      <c r="D82" s="106"/>
      <c r="E82" s="106"/>
      <c r="F82" s="106"/>
      <c r="G82" s="106"/>
      <c r="H82" s="106"/>
      <c r="I82" s="106"/>
      <c r="J82" s="174"/>
      <c r="K82" s="106"/>
      <c r="L82" s="106"/>
      <c r="M82" s="172"/>
      <c r="N82" s="106"/>
      <c r="O82" s="106"/>
      <c r="P82" s="106"/>
      <c r="Q82" s="106"/>
      <c r="R82" s="106"/>
      <c r="S82" s="106"/>
      <c r="T82" s="106"/>
      <c r="U82" s="106"/>
      <c r="V82" s="106"/>
      <c r="W82" s="106"/>
      <c r="X82" s="106"/>
      <c r="Y82" s="106"/>
      <c r="Z82" s="106"/>
      <c r="AA82" s="106"/>
      <c r="AB82" s="106"/>
      <c r="AC82" s="106"/>
      <c r="AD82" s="106"/>
      <c r="AF82" s="106"/>
      <c r="AG82" s="106"/>
      <c r="AH82" s="106"/>
    </row>
    <row r="83" spans="1:59" s="114" customFormat="1" x14ac:dyDescent="0.25">
      <c r="A83" s="106"/>
      <c r="B83" s="106"/>
      <c r="C83" s="106"/>
      <c r="D83" s="106"/>
      <c r="E83" s="106"/>
      <c r="F83" s="106"/>
      <c r="G83" s="106"/>
      <c r="H83" s="106"/>
      <c r="I83" s="106"/>
      <c r="J83" s="174"/>
      <c r="K83" s="106"/>
      <c r="L83" s="106"/>
      <c r="M83" s="172"/>
      <c r="N83" s="106"/>
      <c r="O83" s="106"/>
      <c r="P83" s="106"/>
      <c r="Q83" s="106"/>
      <c r="R83" s="106"/>
      <c r="S83" s="106"/>
      <c r="T83" s="106"/>
      <c r="U83" s="106"/>
      <c r="V83" s="106"/>
      <c r="W83" s="106"/>
      <c r="X83" s="106"/>
      <c r="Y83" s="106"/>
      <c r="Z83" s="106"/>
      <c r="AA83" s="106"/>
      <c r="AB83" s="106"/>
      <c r="AC83" s="106"/>
      <c r="AD83" s="106"/>
      <c r="AF83" s="106"/>
      <c r="AG83" s="106"/>
      <c r="AH83" s="106"/>
    </row>
    <row r="84" spans="1:59" s="114" customFormat="1" x14ac:dyDescent="0.25">
      <c r="A84" s="106"/>
      <c r="B84" s="106"/>
      <c r="C84" s="106"/>
      <c r="D84" s="106"/>
      <c r="E84" s="106"/>
      <c r="F84" s="106"/>
      <c r="G84" s="106"/>
      <c r="H84" s="106"/>
      <c r="I84" s="106"/>
      <c r="J84" s="106"/>
      <c r="K84" s="106"/>
      <c r="L84" s="106"/>
      <c r="M84" s="172"/>
      <c r="N84" s="106"/>
      <c r="O84" s="106"/>
      <c r="P84" s="106"/>
      <c r="Q84" s="106"/>
      <c r="R84" s="106"/>
      <c r="S84" s="106"/>
      <c r="T84" s="106"/>
      <c r="U84" s="106"/>
      <c r="V84" s="106"/>
      <c r="W84" s="106"/>
      <c r="X84" s="106"/>
      <c r="Y84" s="106"/>
      <c r="Z84" s="106"/>
      <c r="AA84" s="106"/>
      <c r="AB84" s="106"/>
      <c r="AC84" s="106"/>
      <c r="AD84" s="106"/>
      <c r="AF84" s="106"/>
      <c r="AG84" s="106"/>
      <c r="AH84" s="106"/>
    </row>
    <row r="85" spans="1:59" s="114" customFormat="1" x14ac:dyDescent="0.25">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F85" s="106"/>
      <c r="AG85" s="106"/>
      <c r="AH85" s="106"/>
    </row>
    <row r="86" spans="1:59" s="114" customFormat="1" x14ac:dyDescent="0.25">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F86" s="106"/>
      <c r="AG86" s="106"/>
      <c r="AH86" s="106"/>
    </row>
    <row r="87" spans="1:59" s="114" customFormat="1" x14ac:dyDescent="0.25">
      <c r="A87" s="106">
        <v>2018</v>
      </c>
      <c r="B87" s="106"/>
      <c r="C87" s="175" t="s">
        <v>44</v>
      </c>
      <c r="D87" s="175"/>
      <c r="E87" s="175"/>
      <c r="F87" s="175"/>
      <c r="G87" s="175"/>
      <c r="H87" s="174" t="s">
        <v>45</v>
      </c>
      <c r="I87" s="174" t="s">
        <v>46</v>
      </c>
      <c r="J87" s="106"/>
      <c r="K87" s="106"/>
      <c r="L87" s="106"/>
      <c r="M87" s="174"/>
      <c r="N87" s="106"/>
      <c r="O87" s="106"/>
      <c r="P87" s="106"/>
      <c r="Q87" s="106"/>
      <c r="R87" s="106"/>
      <c r="S87" s="106"/>
      <c r="T87" s="106"/>
      <c r="U87" s="106"/>
      <c r="V87" s="106"/>
      <c r="W87" s="106"/>
      <c r="X87" s="106"/>
      <c r="Y87" s="106"/>
      <c r="Z87" s="106"/>
      <c r="AA87" s="106"/>
      <c r="AB87" s="106"/>
      <c r="AC87" s="106"/>
      <c r="AD87" s="106"/>
      <c r="AF87" s="106"/>
      <c r="AG87" s="106"/>
      <c r="AH87" s="106"/>
    </row>
    <row r="88" spans="1:59" s="114" customFormat="1" x14ac:dyDescent="0.25">
      <c r="A88" s="106">
        <v>2019</v>
      </c>
      <c r="B88" s="106"/>
      <c r="C88" s="172" t="s">
        <v>177</v>
      </c>
      <c r="D88" s="172"/>
      <c r="E88" s="172"/>
      <c r="F88" s="172"/>
      <c r="G88" s="172"/>
      <c r="H88" s="106" t="s">
        <v>180</v>
      </c>
      <c r="I88" s="173" t="s">
        <v>47</v>
      </c>
      <c r="J88" s="174" t="s">
        <v>206</v>
      </c>
      <c r="K88" s="174" t="s">
        <v>48</v>
      </c>
      <c r="L88" s="174" t="s">
        <v>49</v>
      </c>
      <c r="M88" s="176" t="s">
        <v>212</v>
      </c>
      <c r="N88" s="174"/>
      <c r="O88" s="174"/>
      <c r="P88" s="174"/>
      <c r="Q88" s="174"/>
      <c r="R88" s="174"/>
      <c r="S88" s="174"/>
      <c r="T88" s="174"/>
      <c r="U88" s="174"/>
      <c r="V88" s="174"/>
      <c r="W88" s="174"/>
      <c r="X88" s="174"/>
      <c r="Y88" s="174"/>
      <c r="Z88" s="174"/>
      <c r="AA88" s="174"/>
      <c r="AB88" s="174"/>
      <c r="AC88" s="174"/>
      <c r="AD88" s="106"/>
      <c r="AF88" s="106"/>
      <c r="AG88" s="106"/>
      <c r="AH88" s="106"/>
    </row>
    <row r="89" spans="1:59" s="114" customFormat="1" x14ac:dyDescent="0.25">
      <c r="A89" s="106">
        <v>2020</v>
      </c>
      <c r="B89" s="106"/>
      <c r="C89" s="172" t="s">
        <v>178</v>
      </c>
      <c r="D89" s="172"/>
      <c r="E89" s="172"/>
      <c r="F89" s="172"/>
      <c r="G89" s="172"/>
      <c r="H89" s="106" t="s">
        <v>181</v>
      </c>
      <c r="I89" s="173" t="s">
        <v>50</v>
      </c>
      <c r="J89" s="174" t="s">
        <v>207</v>
      </c>
      <c r="K89" s="174" t="s">
        <v>48</v>
      </c>
      <c r="L89" s="174" t="s">
        <v>49</v>
      </c>
      <c r="M89" s="177" t="s">
        <v>213</v>
      </c>
      <c r="N89" s="174"/>
      <c r="O89" s="174"/>
      <c r="P89" s="174"/>
      <c r="Q89" s="174"/>
      <c r="R89" s="174"/>
      <c r="S89" s="174"/>
      <c r="T89" s="174"/>
      <c r="U89" s="174"/>
      <c r="V89" s="174"/>
      <c r="W89" s="174"/>
      <c r="X89" s="174"/>
      <c r="Y89" s="174"/>
      <c r="Z89" s="174"/>
      <c r="AA89" s="174"/>
      <c r="AB89" s="174"/>
      <c r="AC89" s="174"/>
      <c r="AD89" s="174"/>
      <c r="AE89" s="178"/>
      <c r="AF89" s="174"/>
      <c r="AG89" s="174"/>
      <c r="AH89" s="174"/>
      <c r="AI89" s="178"/>
      <c r="AJ89" s="178"/>
      <c r="AK89" s="178"/>
      <c r="AL89" s="178"/>
      <c r="AM89" s="178"/>
      <c r="AN89" s="178"/>
      <c r="AO89" s="178"/>
      <c r="AP89" s="178"/>
      <c r="AQ89" s="178"/>
      <c r="AR89" s="178"/>
      <c r="AS89" s="178"/>
      <c r="AT89" s="178"/>
      <c r="AU89" s="178"/>
      <c r="AV89" s="178"/>
      <c r="AW89" s="178"/>
      <c r="AX89" s="178"/>
      <c r="AY89" s="178"/>
      <c r="AZ89" s="178"/>
      <c r="BA89" s="178"/>
      <c r="BB89" s="178"/>
      <c r="BC89" s="178"/>
      <c r="BD89" s="178"/>
      <c r="BE89" s="178"/>
      <c r="BF89" s="178"/>
      <c r="BG89" s="178"/>
    </row>
    <row r="90" spans="1:59" s="114" customFormat="1" x14ac:dyDescent="0.25">
      <c r="A90" s="106">
        <v>2021</v>
      </c>
      <c r="B90" s="106"/>
      <c r="C90" s="172" t="s">
        <v>179</v>
      </c>
      <c r="D90" s="172"/>
      <c r="E90" s="172"/>
      <c r="F90" s="172"/>
      <c r="G90" s="172"/>
      <c r="H90" s="106" t="s">
        <v>182</v>
      </c>
      <c r="I90" s="173" t="s">
        <v>51</v>
      </c>
      <c r="J90" s="174" t="s">
        <v>207</v>
      </c>
      <c r="K90" s="174" t="s">
        <v>48</v>
      </c>
      <c r="L90" s="174" t="s">
        <v>49</v>
      </c>
      <c r="M90" s="177" t="s">
        <v>214</v>
      </c>
      <c r="N90" s="174"/>
      <c r="O90" s="174"/>
      <c r="P90" s="174"/>
      <c r="Q90" s="174"/>
      <c r="R90" s="174"/>
      <c r="S90" s="174"/>
      <c r="T90" s="174"/>
      <c r="U90" s="174"/>
      <c r="V90" s="174"/>
      <c r="W90" s="174"/>
      <c r="X90" s="174"/>
      <c r="Y90" s="174"/>
      <c r="Z90" s="174"/>
      <c r="AA90" s="174"/>
      <c r="AB90" s="174"/>
      <c r="AC90" s="174"/>
      <c r="AD90" s="174"/>
      <c r="AE90" s="178"/>
      <c r="AF90" s="174"/>
      <c r="AG90" s="174"/>
      <c r="AH90" s="174"/>
      <c r="AI90" s="178"/>
      <c r="AJ90" s="178"/>
      <c r="AK90" s="178"/>
      <c r="AL90" s="178"/>
      <c r="AM90" s="178"/>
      <c r="AN90" s="178"/>
      <c r="AO90" s="178"/>
      <c r="AP90" s="178"/>
      <c r="AQ90" s="178"/>
      <c r="AR90" s="178"/>
      <c r="AS90" s="178"/>
      <c r="AT90" s="178"/>
      <c r="AU90" s="178"/>
      <c r="AV90" s="178"/>
      <c r="AW90" s="178"/>
      <c r="AX90" s="178"/>
      <c r="AY90" s="178"/>
      <c r="AZ90" s="178"/>
      <c r="BA90" s="178"/>
      <c r="BB90" s="178"/>
      <c r="BC90" s="178"/>
      <c r="BD90" s="178"/>
      <c r="BE90" s="178"/>
      <c r="BF90" s="178"/>
      <c r="BG90" s="178"/>
    </row>
    <row r="91" spans="1:59" s="114" customFormat="1" x14ac:dyDescent="0.25">
      <c r="A91" s="106">
        <v>2022</v>
      </c>
      <c r="B91" s="106"/>
      <c r="C91" s="172" t="s">
        <v>183</v>
      </c>
      <c r="D91" s="172"/>
      <c r="E91" s="172"/>
      <c r="F91" s="172"/>
      <c r="G91" s="172"/>
      <c r="H91" s="106" t="s">
        <v>192</v>
      </c>
      <c r="I91" s="173" t="s">
        <v>52</v>
      </c>
      <c r="J91" s="174" t="s">
        <v>208</v>
      </c>
      <c r="K91" s="174" t="s">
        <v>48</v>
      </c>
      <c r="L91" s="174" t="s">
        <v>54</v>
      </c>
      <c r="M91" s="176" t="s">
        <v>215</v>
      </c>
      <c r="N91" s="174"/>
      <c r="O91" s="174"/>
      <c r="P91" s="174"/>
      <c r="Q91" s="174"/>
      <c r="R91" s="174"/>
      <c r="S91" s="174"/>
      <c r="T91" s="174"/>
      <c r="U91" s="174"/>
      <c r="V91" s="174"/>
      <c r="W91" s="174"/>
      <c r="X91" s="174"/>
      <c r="Y91" s="174"/>
      <c r="Z91" s="174"/>
      <c r="AA91" s="174"/>
      <c r="AB91" s="174"/>
      <c r="AC91" s="174"/>
      <c r="AD91" s="174"/>
      <c r="AE91" s="178"/>
      <c r="AF91" s="174"/>
      <c r="AG91" s="174"/>
      <c r="AH91" s="174"/>
      <c r="AI91" s="178"/>
      <c r="AJ91" s="178"/>
      <c r="AK91" s="178"/>
      <c r="AL91" s="178"/>
      <c r="AM91" s="178"/>
      <c r="AN91" s="178"/>
      <c r="AO91" s="178"/>
      <c r="AP91" s="178"/>
      <c r="AQ91" s="178"/>
      <c r="AR91" s="178"/>
      <c r="AS91" s="178"/>
      <c r="AT91" s="178"/>
      <c r="AU91" s="178"/>
      <c r="AV91" s="178"/>
      <c r="AW91" s="178"/>
      <c r="AX91" s="178"/>
      <c r="AY91" s="178"/>
      <c r="AZ91" s="178"/>
      <c r="BA91" s="178"/>
      <c r="BB91" s="178"/>
      <c r="BC91" s="178"/>
      <c r="BD91" s="178"/>
      <c r="BE91" s="178"/>
      <c r="BF91" s="178"/>
      <c r="BG91" s="178"/>
    </row>
    <row r="92" spans="1:59" s="114" customFormat="1" x14ac:dyDescent="0.25">
      <c r="A92" s="106">
        <v>2023</v>
      </c>
      <c r="B92" s="106"/>
      <c r="C92" s="172" t="s">
        <v>184</v>
      </c>
      <c r="D92" s="172"/>
      <c r="E92" s="172"/>
      <c r="F92" s="172"/>
      <c r="G92" s="172"/>
      <c r="H92" s="106" t="s">
        <v>193</v>
      </c>
      <c r="I92" s="173" t="s">
        <v>55</v>
      </c>
      <c r="J92" s="174" t="s">
        <v>209</v>
      </c>
      <c r="K92" s="174" t="s">
        <v>48</v>
      </c>
      <c r="L92" s="174" t="s">
        <v>54</v>
      </c>
      <c r="M92" s="176" t="s">
        <v>216</v>
      </c>
      <c r="N92" s="174"/>
      <c r="O92" s="174"/>
      <c r="P92" s="174"/>
      <c r="Q92" s="174"/>
      <c r="R92" s="174"/>
      <c r="S92" s="174"/>
      <c r="T92" s="174"/>
      <c r="U92" s="174"/>
      <c r="V92" s="174"/>
      <c r="W92" s="174"/>
      <c r="X92" s="174"/>
      <c r="Y92" s="174"/>
      <c r="Z92" s="174"/>
      <c r="AA92" s="174"/>
      <c r="AB92" s="174"/>
      <c r="AC92" s="174"/>
      <c r="AD92" s="174"/>
      <c r="AE92" s="178"/>
      <c r="AF92" s="174"/>
      <c r="AG92" s="174"/>
      <c r="AH92" s="174"/>
      <c r="AI92" s="178"/>
      <c r="AJ92" s="178"/>
      <c r="AK92" s="178"/>
      <c r="AL92" s="178"/>
      <c r="AM92" s="178"/>
      <c r="AN92" s="178"/>
      <c r="AO92" s="178"/>
      <c r="AP92" s="178"/>
      <c r="AQ92" s="178"/>
      <c r="AR92" s="178"/>
      <c r="AS92" s="178"/>
      <c r="AT92" s="178"/>
      <c r="AU92" s="178"/>
      <c r="AV92" s="178"/>
      <c r="AW92" s="178"/>
      <c r="AX92" s="178"/>
      <c r="AY92" s="178"/>
      <c r="AZ92" s="178"/>
      <c r="BA92" s="178"/>
      <c r="BB92" s="178"/>
      <c r="BC92" s="178"/>
      <c r="BD92" s="178"/>
      <c r="BE92" s="178"/>
      <c r="BF92" s="178"/>
      <c r="BG92" s="178"/>
    </row>
    <row r="93" spans="1:59" x14ac:dyDescent="0.25">
      <c r="A93" s="106">
        <v>2024</v>
      </c>
      <c r="C93" s="172" t="s">
        <v>185</v>
      </c>
      <c r="D93" s="172"/>
      <c r="E93" s="172"/>
      <c r="F93" s="172"/>
      <c r="G93" s="172"/>
      <c r="H93" s="106" t="s">
        <v>194</v>
      </c>
      <c r="I93" s="173" t="s">
        <v>56</v>
      </c>
      <c r="J93" s="174" t="s">
        <v>209</v>
      </c>
      <c r="K93" s="174" t="s">
        <v>48</v>
      </c>
      <c r="L93" s="174" t="s">
        <v>54</v>
      </c>
      <c r="M93" s="176" t="s">
        <v>226</v>
      </c>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row>
    <row r="94" spans="1:59" x14ac:dyDescent="0.25">
      <c r="A94" s="106">
        <v>2025</v>
      </c>
      <c r="C94" s="172" t="s">
        <v>186</v>
      </c>
      <c r="D94" s="172"/>
      <c r="E94" s="172"/>
      <c r="F94" s="172"/>
      <c r="G94" s="172"/>
      <c r="H94" s="106" t="s">
        <v>195</v>
      </c>
      <c r="I94" s="173" t="s">
        <v>57</v>
      </c>
      <c r="J94" s="174" t="s">
        <v>209</v>
      </c>
      <c r="K94" s="174" t="s">
        <v>48</v>
      </c>
      <c r="L94" s="174" t="s">
        <v>54</v>
      </c>
      <c r="M94" s="176" t="s">
        <v>217</v>
      </c>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row>
    <row r="95" spans="1:59" x14ac:dyDescent="0.25">
      <c r="A95" s="106">
        <v>2026</v>
      </c>
      <c r="C95" s="172" t="s">
        <v>187</v>
      </c>
      <c r="D95" s="172"/>
      <c r="E95" s="172"/>
      <c r="F95" s="172"/>
      <c r="G95" s="172"/>
      <c r="H95" s="106" t="s">
        <v>196</v>
      </c>
      <c r="I95" s="173" t="s">
        <v>58</v>
      </c>
      <c r="J95" s="174" t="s">
        <v>208</v>
      </c>
      <c r="K95" s="174" t="s">
        <v>48</v>
      </c>
      <c r="L95" s="174" t="s">
        <v>54</v>
      </c>
      <c r="M95" s="176" t="s">
        <v>218</v>
      </c>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row>
    <row r="96" spans="1:59" x14ac:dyDescent="0.25">
      <c r="A96" s="106">
        <v>2027</v>
      </c>
      <c r="C96" s="172" t="s">
        <v>188</v>
      </c>
      <c r="D96" s="172"/>
      <c r="E96" s="172"/>
      <c r="F96" s="172"/>
      <c r="G96" s="172"/>
      <c r="H96" s="106" t="s">
        <v>197</v>
      </c>
      <c r="I96" s="173" t="s">
        <v>60</v>
      </c>
      <c r="J96" s="174" t="s">
        <v>207</v>
      </c>
      <c r="K96" s="174" t="s">
        <v>48</v>
      </c>
      <c r="L96" s="172" t="s">
        <v>204</v>
      </c>
      <c r="M96" s="176" t="s">
        <v>219</v>
      </c>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row>
    <row r="97" spans="1:59" x14ac:dyDescent="0.25">
      <c r="A97" s="106">
        <v>2028</v>
      </c>
      <c r="C97" s="172" t="s">
        <v>59</v>
      </c>
      <c r="D97" s="172"/>
      <c r="E97" s="172"/>
      <c r="F97" s="172"/>
      <c r="G97" s="172"/>
      <c r="H97" s="106" t="s">
        <v>198</v>
      </c>
      <c r="I97" s="173" t="s">
        <v>61</v>
      </c>
      <c r="J97" s="174" t="s">
        <v>62</v>
      </c>
      <c r="K97" s="174" t="s">
        <v>48</v>
      </c>
      <c r="L97" s="172" t="s">
        <v>204</v>
      </c>
      <c r="M97" s="176" t="s">
        <v>220</v>
      </c>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row>
    <row r="98" spans="1:59" x14ac:dyDescent="0.25">
      <c r="C98" s="172" t="s">
        <v>189</v>
      </c>
      <c r="D98" s="172"/>
      <c r="E98" s="172"/>
      <c r="F98" s="172"/>
      <c r="G98" s="172"/>
      <c r="H98" s="106" t="s">
        <v>199</v>
      </c>
      <c r="I98" s="173" t="s">
        <v>63</v>
      </c>
      <c r="J98" s="174" t="s">
        <v>207</v>
      </c>
      <c r="K98" s="174" t="s">
        <v>48</v>
      </c>
      <c r="L98" s="172" t="s">
        <v>204</v>
      </c>
      <c r="M98" s="176" t="s">
        <v>221</v>
      </c>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c r="AT98" s="174"/>
      <c r="AU98" s="174"/>
      <c r="AV98" s="174"/>
      <c r="AW98" s="174"/>
      <c r="AX98" s="174"/>
      <c r="AY98" s="174"/>
      <c r="AZ98" s="174"/>
      <c r="BA98" s="174"/>
      <c r="BB98" s="174"/>
      <c r="BC98" s="174"/>
      <c r="BD98" s="174"/>
      <c r="BE98" s="174"/>
      <c r="BF98" s="174"/>
      <c r="BG98" s="174"/>
    </row>
    <row r="99" spans="1:59" x14ac:dyDescent="0.25">
      <c r="C99" s="172" t="s">
        <v>190</v>
      </c>
      <c r="D99" s="172"/>
      <c r="E99" s="172"/>
      <c r="F99" s="172"/>
      <c r="G99" s="172"/>
      <c r="H99" s="106" t="s">
        <v>200</v>
      </c>
      <c r="I99" s="173" t="s">
        <v>64</v>
      </c>
      <c r="J99" s="174" t="s">
        <v>207</v>
      </c>
      <c r="K99" s="174" t="s">
        <v>48</v>
      </c>
      <c r="L99" s="172" t="s">
        <v>204</v>
      </c>
      <c r="M99" s="176" t="s">
        <v>222</v>
      </c>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c r="AT99" s="174"/>
      <c r="AU99" s="174"/>
      <c r="AV99" s="174"/>
      <c r="AW99" s="174"/>
      <c r="AX99" s="174"/>
      <c r="AY99" s="174"/>
      <c r="AZ99" s="174"/>
      <c r="BA99" s="174"/>
      <c r="BB99" s="174"/>
      <c r="BC99" s="174"/>
      <c r="BD99" s="174"/>
      <c r="BE99" s="174"/>
      <c r="BF99" s="174"/>
      <c r="BG99" s="174"/>
    </row>
    <row r="100" spans="1:59" x14ac:dyDescent="0.25">
      <c r="C100" s="172" t="s">
        <v>191</v>
      </c>
      <c r="D100" s="172"/>
      <c r="E100" s="172"/>
      <c r="F100" s="172"/>
      <c r="G100" s="172"/>
      <c r="H100" s="106" t="s">
        <v>201</v>
      </c>
      <c r="I100" s="173" t="s">
        <v>65</v>
      </c>
      <c r="J100" s="174" t="s">
        <v>207</v>
      </c>
      <c r="K100" s="174" t="s">
        <v>48</v>
      </c>
      <c r="L100" s="172" t="s">
        <v>204</v>
      </c>
      <c r="M100" s="176" t="s">
        <v>223</v>
      </c>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row>
    <row r="101" spans="1:59" x14ac:dyDescent="0.25">
      <c r="C101" s="172" t="s">
        <v>202</v>
      </c>
      <c r="D101" s="172"/>
      <c r="E101" s="172"/>
      <c r="F101" s="172"/>
      <c r="G101" s="172"/>
      <c r="H101" s="106" t="s">
        <v>203</v>
      </c>
      <c r="I101" s="173" t="s">
        <v>66</v>
      </c>
      <c r="J101" s="174" t="s">
        <v>225</v>
      </c>
      <c r="K101" s="174" t="s">
        <v>48</v>
      </c>
      <c r="L101" s="174" t="s">
        <v>205</v>
      </c>
      <c r="M101" s="172" t="s">
        <v>224</v>
      </c>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row>
    <row r="102" spans="1:59" x14ac:dyDescent="0.25">
      <c r="C102" s="179"/>
      <c r="D102" s="179"/>
      <c r="E102" s="179"/>
      <c r="F102" s="179"/>
      <c r="G102" s="179"/>
      <c r="M102" s="172"/>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row>
    <row r="103" spans="1:59" x14ac:dyDescent="0.25">
      <c r="C103" s="179"/>
      <c r="D103" s="179"/>
      <c r="E103" s="179"/>
      <c r="F103" s="179"/>
      <c r="G103" s="179"/>
      <c r="M103" s="172"/>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row>
    <row r="104" spans="1:59" x14ac:dyDescent="0.25">
      <c r="C104" s="175" t="s">
        <v>102</v>
      </c>
      <c r="D104" s="175"/>
      <c r="E104" s="175"/>
      <c r="F104" s="175"/>
      <c r="G104" s="175"/>
      <c r="M104" s="172"/>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row>
    <row r="105" spans="1:59" x14ac:dyDescent="0.25">
      <c r="C105" s="174" t="s">
        <v>43</v>
      </c>
      <c r="D105" s="174"/>
      <c r="E105" s="174"/>
      <c r="F105" s="174"/>
      <c r="G105" s="174"/>
      <c r="J105" s="174"/>
      <c r="K105" s="174"/>
      <c r="L105" s="174"/>
      <c r="M105" s="172"/>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74"/>
      <c r="AU105" s="174"/>
      <c r="AV105" s="174"/>
      <c r="AW105" s="174"/>
      <c r="AX105" s="174"/>
      <c r="AY105" s="174"/>
      <c r="AZ105" s="174"/>
      <c r="BA105" s="174"/>
      <c r="BB105" s="174"/>
      <c r="BC105" s="174"/>
      <c r="BD105" s="174"/>
      <c r="BE105" s="174"/>
      <c r="BF105" s="174"/>
      <c r="BG105" s="174"/>
    </row>
    <row r="106" spans="1:59" x14ac:dyDescent="0.25">
      <c r="C106" s="174" t="s">
        <v>103</v>
      </c>
      <c r="D106" s="174"/>
      <c r="E106" s="174"/>
      <c r="F106" s="174"/>
      <c r="G106" s="174"/>
      <c r="J106" s="174"/>
      <c r="K106" s="174"/>
      <c r="L106" s="174"/>
      <c r="M106" s="172"/>
      <c r="N106" s="174"/>
    </row>
    <row r="107" spans="1:59" x14ac:dyDescent="0.25">
      <c r="C107" s="174" t="s">
        <v>41</v>
      </c>
      <c r="D107" s="174"/>
      <c r="E107" s="174"/>
      <c r="F107" s="174"/>
      <c r="G107" s="174"/>
      <c r="I107" s="175"/>
      <c r="M107" s="172"/>
    </row>
    <row r="108" spans="1:59" x14ac:dyDescent="0.25">
      <c r="C108" s="174"/>
      <c r="D108" s="174"/>
      <c r="E108" s="174"/>
      <c r="F108" s="174"/>
      <c r="G108" s="174"/>
      <c r="I108" s="172"/>
      <c r="M108" s="172"/>
    </row>
    <row r="109" spans="1:59" x14ac:dyDescent="0.25">
      <c r="C109" s="175" t="s">
        <v>104</v>
      </c>
      <c r="D109" s="175"/>
      <c r="E109" s="175"/>
      <c r="F109" s="175"/>
      <c r="G109" s="175"/>
      <c r="H109" s="172"/>
      <c r="I109" s="172"/>
      <c r="J109" s="172"/>
      <c r="M109" s="172"/>
    </row>
    <row r="110" spans="1:59" x14ac:dyDescent="0.25">
      <c r="C110" s="174" t="s">
        <v>39</v>
      </c>
      <c r="D110" s="174"/>
      <c r="E110" s="174"/>
      <c r="F110" s="174"/>
      <c r="G110" s="174"/>
      <c r="H110" s="180"/>
      <c r="I110" s="172"/>
      <c r="J110" s="180"/>
      <c r="M110" s="172"/>
    </row>
    <row r="111" spans="1:59" x14ac:dyDescent="0.25">
      <c r="C111" s="174" t="s">
        <v>42</v>
      </c>
      <c r="D111" s="174"/>
      <c r="E111" s="174"/>
      <c r="F111" s="174"/>
      <c r="G111" s="174"/>
      <c r="H111" s="172"/>
      <c r="I111" s="175"/>
      <c r="J111" s="172"/>
      <c r="M111" s="172"/>
    </row>
    <row r="112" spans="1:59" x14ac:dyDescent="0.25">
      <c r="C112" s="175"/>
      <c r="D112" s="175"/>
      <c r="E112" s="175"/>
      <c r="F112" s="175"/>
      <c r="G112" s="175"/>
      <c r="H112" s="172"/>
      <c r="I112" s="172"/>
      <c r="J112" s="172"/>
      <c r="M112" s="172"/>
    </row>
    <row r="113" spans="2:13" x14ac:dyDescent="0.25">
      <c r="C113" s="175" t="s">
        <v>105</v>
      </c>
      <c r="D113" s="175"/>
      <c r="E113" s="175"/>
      <c r="F113" s="175"/>
      <c r="G113" s="175"/>
      <c r="H113" s="172"/>
      <c r="I113" s="172"/>
      <c r="J113" s="172"/>
      <c r="M113" s="172"/>
    </row>
    <row r="114" spans="2:13" x14ac:dyDescent="0.25">
      <c r="H114" s="172"/>
      <c r="I114" s="172"/>
      <c r="J114" s="172"/>
      <c r="M114" s="172"/>
    </row>
    <row r="115" spans="2:13" x14ac:dyDescent="0.25">
      <c r="C115" s="174" t="s">
        <v>40</v>
      </c>
      <c r="D115" s="174"/>
      <c r="E115" s="174"/>
      <c r="F115" s="174"/>
      <c r="G115" s="174"/>
      <c r="H115" s="172"/>
      <c r="I115" s="172"/>
      <c r="J115" s="172"/>
      <c r="M115" s="172"/>
    </row>
    <row r="116" spans="2:13" x14ac:dyDescent="0.25">
      <c r="C116" s="174" t="s">
        <v>106</v>
      </c>
      <c r="D116" s="174"/>
      <c r="E116" s="174"/>
      <c r="F116" s="174"/>
      <c r="G116" s="174"/>
      <c r="H116" s="172"/>
      <c r="I116" s="172"/>
      <c r="J116" s="172"/>
      <c r="M116" s="172"/>
    </row>
    <row r="117" spans="2:13" x14ac:dyDescent="0.25">
      <c r="C117" s="174" t="s">
        <v>242</v>
      </c>
      <c r="D117" s="174"/>
      <c r="E117" s="174"/>
      <c r="F117" s="172"/>
      <c r="G117" s="172"/>
      <c r="H117" s="172"/>
      <c r="I117" s="172"/>
      <c r="J117" s="172"/>
      <c r="M117" s="172"/>
    </row>
    <row r="118" spans="2:13" x14ac:dyDescent="0.25">
      <c r="C118" s="172"/>
      <c r="D118" s="172"/>
      <c r="E118" s="172"/>
      <c r="F118" s="172"/>
      <c r="G118" s="172"/>
      <c r="H118" s="172"/>
      <c r="I118" s="172"/>
      <c r="J118" s="172"/>
      <c r="M118" s="172"/>
    </row>
    <row r="119" spans="2:13" ht="17.25" x14ac:dyDescent="0.25">
      <c r="B119" s="106">
        <v>1</v>
      </c>
      <c r="C119" s="303" t="s">
        <v>593</v>
      </c>
      <c r="D119" s="174"/>
      <c r="E119" s="174"/>
      <c r="F119" s="174"/>
      <c r="G119" s="174"/>
      <c r="H119" s="172"/>
      <c r="I119" s="172"/>
      <c r="J119" s="172"/>
      <c r="M119" s="172"/>
    </row>
    <row r="120" spans="2:13" ht="17.25" x14ac:dyDescent="0.25">
      <c r="B120" s="106">
        <v>2</v>
      </c>
      <c r="C120" s="303" t="s">
        <v>594</v>
      </c>
      <c r="D120" s="174"/>
      <c r="E120" s="174"/>
      <c r="F120" s="174"/>
      <c r="G120" s="174"/>
      <c r="H120" s="172"/>
      <c r="I120" s="172"/>
      <c r="J120" s="172"/>
      <c r="M120" s="172"/>
    </row>
    <row r="121" spans="2:13" ht="17.25" x14ac:dyDescent="0.25">
      <c r="B121" s="106">
        <v>3</v>
      </c>
      <c r="C121" s="303" t="s">
        <v>595</v>
      </c>
      <c r="D121" s="174"/>
      <c r="E121" s="174"/>
      <c r="F121" s="174"/>
      <c r="G121" s="174"/>
      <c r="M121" s="172"/>
    </row>
    <row r="122" spans="2:13" ht="17.25" x14ac:dyDescent="0.25">
      <c r="B122" s="106">
        <v>4</v>
      </c>
      <c r="C122" s="303" t="s">
        <v>596</v>
      </c>
      <c r="D122" s="174"/>
      <c r="E122" s="174"/>
      <c r="F122" s="174"/>
      <c r="G122" s="174"/>
      <c r="M122" s="172"/>
    </row>
    <row r="123" spans="2:13" ht="17.25" x14ac:dyDescent="0.25">
      <c r="B123" s="106">
        <v>5</v>
      </c>
      <c r="C123" s="303" t="s">
        <v>211</v>
      </c>
      <c r="D123" s="174"/>
      <c r="E123" s="174"/>
      <c r="F123" s="174"/>
      <c r="G123" s="174"/>
      <c r="M123" s="172"/>
    </row>
    <row r="124" spans="2:13" ht="17.25" x14ac:dyDescent="0.25">
      <c r="B124" s="106">
        <v>6</v>
      </c>
      <c r="C124" s="303" t="s">
        <v>597</v>
      </c>
      <c r="D124" s="174"/>
      <c r="E124" s="174"/>
      <c r="F124" s="174"/>
      <c r="G124" s="174"/>
      <c r="M124" s="172"/>
    </row>
    <row r="125" spans="2:13" ht="17.25" x14ac:dyDescent="0.25">
      <c r="B125" s="106">
        <v>7</v>
      </c>
      <c r="C125" s="303" t="s">
        <v>598</v>
      </c>
      <c r="D125" s="174"/>
      <c r="E125" s="174"/>
      <c r="F125" s="174"/>
      <c r="G125" s="174"/>
      <c r="M125" s="172"/>
    </row>
    <row r="126" spans="2:13" x14ac:dyDescent="0.25">
      <c r="B126" s="181"/>
      <c r="C126" s="177"/>
      <c r="D126" s="177"/>
      <c r="E126" s="177"/>
      <c r="F126" s="177"/>
      <c r="G126" s="177"/>
      <c r="M126" s="172"/>
    </row>
    <row r="127" spans="2:13" x14ac:dyDescent="0.25">
      <c r="B127" s="181"/>
      <c r="C127" s="177"/>
      <c r="D127" s="177"/>
      <c r="E127" s="177"/>
      <c r="F127" s="177"/>
      <c r="G127" s="177"/>
      <c r="M127" s="172"/>
    </row>
    <row r="128" spans="2:13" x14ac:dyDescent="0.25">
      <c r="B128" s="181"/>
      <c r="C128" s="177"/>
      <c r="D128" s="177"/>
      <c r="E128" s="177"/>
      <c r="F128" s="177"/>
      <c r="G128" s="177"/>
      <c r="M128" s="172"/>
    </row>
    <row r="129" spans="3:13" x14ac:dyDescent="0.25">
      <c r="C129" s="174"/>
      <c r="D129" s="174"/>
      <c r="E129" s="174"/>
      <c r="F129" s="174"/>
      <c r="G129" s="174"/>
      <c r="M129" s="172"/>
    </row>
    <row r="130" spans="3:13" x14ac:dyDescent="0.25">
      <c r="C130" s="174"/>
      <c r="D130" s="174"/>
      <c r="E130" s="174"/>
      <c r="F130" s="174"/>
      <c r="G130" s="174"/>
      <c r="M130" s="172"/>
    </row>
    <row r="131" spans="3:13" x14ac:dyDescent="0.25">
      <c r="C131" s="174"/>
      <c r="D131" s="174"/>
      <c r="E131" s="174"/>
      <c r="F131" s="174"/>
      <c r="G131" s="174"/>
      <c r="M131" s="172"/>
    </row>
    <row r="132" spans="3:13" x14ac:dyDescent="0.25">
      <c r="C132" s="174"/>
      <c r="D132" s="174"/>
      <c r="E132" s="174"/>
      <c r="F132" s="174"/>
      <c r="G132" s="174"/>
      <c r="M132" s="172"/>
    </row>
    <row r="133" spans="3:13" x14ac:dyDescent="0.25">
      <c r="C133" s="174"/>
      <c r="D133" s="174"/>
      <c r="E133" s="174"/>
      <c r="F133" s="174"/>
      <c r="G133" s="174"/>
      <c r="M133" s="172"/>
    </row>
    <row r="134" spans="3:13" x14ac:dyDescent="0.25">
      <c r="C134" s="174"/>
      <c r="D134" s="174"/>
      <c r="E134" s="174"/>
      <c r="F134" s="174"/>
      <c r="G134" s="174"/>
      <c r="M134" s="172"/>
    </row>
    <row r="135" spans="3:13" x14ac:dyDescent="0.25">
      <c r="C135" s="174"/>
      <c r="D135" s="174"/>
      <c r="E135" s="174"/>
      <c r="F135" s="174"/>
      <c r="G135" s="174"/>
      <c r="M135" s="172"/>
    </row>
    <row r="136" spans="3:13" x14ac:dyDescent="0.25">
      <c r="C136" s="174"/>
      <c r="D136" s="174"/>
      <c r="E136" s="174"/>
      <c r="F136" s="174"/>
      <c r="G136" s="174"/>
      <c r="M136" s="172"/>
    </row>
    <row r="137" spans="3:13" x14ac:dyDescent="0.25">
      <c r="C137" s="174"/>
      <c r="D137" s="174"/>
      <c r="E137" s="174"/>
      <c r="F137" s="174"/>
      <c r="G137" s="174"/>
      <c r="M137" s="172"/>
    </row>
    <row r="138" spans="3:13" x14ac:dyDescent="0.25">
      <c r="C138" s="174"/>
      <c r="D138" s="174"/>
      <c r="E138" s="174"/>
      <c r="F138" s="174"/>
      <c r="G138" s="174"/>
      <c r="M138" s="172"/>
    </row>
    <row r="139" spans="3:13" x14ac:dyDescent="0.25">
      <c r="C139" s="174"/>
      <c r="D139" s="174"/>
      <c r="E139" s="174"/>
      <c r="F139" s="174"/>
      <c r="G139" s="174"/>
      <c r="M139" s="172"/>
    </row>
    <row r="140" spans="3:13" x14ac:dyDescent="0.25">
      <c r="C140" s="174"/>
      <c r="D140" s="174"/>
      <c r="E140" s="174"/>
      <c r="F140" s="174"/>
      <c r="G140" s="174"/>
      <c r="M140" s="172"/>
    </row>
    <row r="141" spans="3:13" x14ac:dyDescent="0.25">
      <c r="C141" s="174"/>
      <c r="D141" s="174"/>
      <c r="E141" s="174"/>
      <c r="F141" s="174"/>
      <c r="G141" s="174"/>
      <c r="M141" s="172"/>
    </row>
    <row r="142" spans="3:13" x14ac:dyDescent="0.25">
      <c r="C142" s="174"/>
      <c r="D142" s="174"/>
      <c r="E142" s="174"/>
      <c r="F142" s="174"/>
      <c r="G142" s="174"/>
      <c r="M142" s="172"/>
    </row>
    <row r="143" spans="3:13" x14ac:dyDescent="0.25">
      <c r="C143" s="174"/>
      <c r="D143" s="174"/>
      <c r="E143" s="174"/>
      <c r="F143" s="174"/>
      <c r="G143" s="174"/>
    </row>
    <row r="144" spans="3:13" x14ac:dyDescent="0.25">
      <c r="C144" s="174"/>
      <c r="D144" s="174"/>
      <c r="E144" s="174"/>
      <c r="F144" s="174"/>
      <c r="G144" s="174"/>
    </row>
    <row r="145" spans="3:7" x14ac:dyDescent="0.25">
      <c r="C145" s="174"/>
      <c r="D145" s="174"/>
      <c r="E145" s="174"/>
      <c r="F145" s="174"/>
      <c r="G145" s="174"/>
    </row>
    <row r="146" spans="3:7" x14ac:dyDescent="0.25">
      <c r="C146" s="174"/>
      <c r="D146" s="174"/>
      <c r="E146" s="174"/>
      <c r="F146" s="174"/>
      <c r="G146" s="174"/>
    </row>
    <row r="147" spans="3:7" x14ac:dyDescent="0.25">
      <c r="C147" s="174"/>
      <c r="D147" s="174"/>
      <c r="E147" s="174"/>
      <c r="F147" s="174"/>
      <c r="G147" s="174"/>
    </row>
    <row r="148" spans="3:7" x14ac:dyDescent="0.25">
      <c r="C148" s="174"/>
      <c r="D148" s="174"/>
      <c r="E148" s="174"/>
      <c r="F148" s="174"/>
      <c r="G148" s="174"/>
    </row>
    <row r="149" spans="3:7" x14ac:dyDescent="0.25">
      <c r="C149" s="174"/>
      <c r="D149" s="174"/>
      <c r="E149" s="174"/>
      <c r="F149" s="174"/>
      <c r="G149" s="174"/>
    </row>
    <row r="150" spans="3:7" x14ac:dyDescent="0.25">
      <c r="C150" s="174"/>
      <c r="D150" s="174"/>
      <c r="E150" s="174"/>
      <c r="F150" s="174"/>
      <c r="G150" s="174"/>
    </row>
    <row r="151" spans="3:7" x14ac:dyDescent="0.25">
      <c r="C151" s="174"/>
      <c r="D151" s="174"/>
      <c r="E151" s="174"/>
      <c r="F151" s="174"/>
      <c r="G151" s="174"/>
    </row>
    <row r="152" spans="3:7" x14ac:dyDescent="0.25">
      <c r="C152" s="174"/>
      <c r="D152" s="174"/>
      <c r="E152" s="174"/>
      <c r="F152" s="174"/>
      <c r="G152" s="174"/>
    </row>
    <row r="153" spans="3:7" x14ac:dyDescent="0.25">
      <c r="C153" s="174"/>
      <c r="D153" s="174"/>
      <c r="E153" s="174"/>
      <c r="F153" s="174"/>
      <c r="G153" s="174"/>
    </row>
    <row r="154" spans="3:7" x14ac:dyDescent="0.25">
      <c r="C154" s="174"/>
      <c r="D154" s="174"/>
      <c r="E154" s="174"/>
      <c r="F154" s="174"/>
      <c r="G154" s="174"/>
    </row>
    <row r="155" spans="3:7" x14ac:dyDescent="0.25">
      <c r="C155" s="174"/>
      <c r="D155" s="174"/>
      <c r="E155" s="174"/>
      <c r="F155" s="174"/>
      <c r="G155" s="174"/>
    </row>
    <row r="156" spans="3:7" x14ac:dyDescent="0.25">
      <c r="C156" s="174"/>
      <c r="D156" s="174"/>
      <c r="E156" s="174"/>
      <c r="F156" s="174"/>
      <c r="G156" s="174"/>
    </row>
    <row r="157" spans="3:7" x14ac:dyDescent="0.25">
      <c r="C157" s="174"/>
      <c r="D157" s="174"/>
      <c r="E157" s="174"/>
      <c r="F157" s="174"/>
      <c r="G157" s="174"/>
    </row>
    <row r="158" spans="3:7" x14ac:dyDescent="0.25">
      <c r="C158" s="174"/>
      <c r="D158" s="174"/>
      <c r="E158" s="174"/>
      <c r="F158" s="174"/>
      <c r="G158" s="174"/>
    </row>
    <row r="159" spans="3:7" x14ac:dyDescent="0.25">
      <c r="C159" s="174"/>
      <c r="D159" s="174"/>
      <c r="E159" s="174"/>
      <c r="F159" s="174"/>
      <c r="G159" s="174"/>
    </row>
    <row r="160" spans="3:7" x14ac:dyDescent="0.25">
      <c r="C160" s="174"/>
      <c r="D160" s="174"/>
      <c r="E160" s="174"/>
      <c r="F160" s="174"/>
      <c r="G160" s="174"/>
    </row>
    <row r="161" spans="3:7" x14ac:dyDescent="0.25">
      <c r="C161" s="174"/>
      <c r="D161" s="174"/>
      <c r="E161" s="174"/>
      <c r="F161" s="174"/>
      <c r="G161" s="174"/>
    </row>
    <row r="162" spans="3:7" x14ac:dyDescent="0.25">
      <c r="C162" s="174"/>
      <c r="D162" s="174"/>
      <c r="E162" s="174"/>
      <c r="F162" s="174"/>
      <c r="G162" s="174"/>
    </row>
    <row r="163" spans="3:7" x14ac:dyDescent="0.25">
      <c r="C163" s="174"/>
      <c r="D163" s="174"/>
      <c r="E163" s="174"/>
      <c r="F163" s="174"/>
      <c r="G163" s="174"/>
    </row>
    <row r="164" spans="3:7" x14ac:dyDescent="0.25">
      <c r="C164" s="174"/>
      <c r="D164" s="174"/>
      <c r="E164" s="174"/>
      <c r="F164" s="174"/>
      <c r="G164" s="174"/>
    </row>
    <row r="165" spans="3:7" x14ac:dyDescent="0.25">
      <c r="C165" s="174"/>
      <c r="D165" s="174"/>
      <c r="E165" s="174"/>
      <c r="F165" s="174"/>
      <c r="G165" s="174"/>
    </row>
    <row r="166" spans="3:7" x14ac:dyDescent="0.25">
      <c r="C166" s="174"/>
      <c r="D166" s="174"/>
      <c r="E166" s="174"/>
      <c r="F166" s="174"/>
      <c r="G166" s="174"/>
    </row>
    <row r="167" spans="3:7" x14ac:dyDescent="0.25">
      <c r="C167" s="174"/>
      <c r="D167" s="174"/>
      <c r="E167" s="174"/>
      <c r="F167" s="174"/>
      <c r="G167" s="174"/>
    </row>
    <row r="168" spans="3:7" x14ac:dyDescent="0.25">
      <c r="C168" s="174"/>
      <c r="D168" s="174"/>
      <c r="E168" s="174"/>
      <c r="F168" s="174"/>
      <c r="G168" s="174"/>
    </row>
    <row r="169" spans="3:7" x14ac:dyDescent="0.25">
      <c r="C169" s="174"/>
      <c r="D169" s="174"/>
      <c r="E169" s="174"/>
      <c r="F169" s="174"/>
      <c r="G169" s="174"/>
    </row>
    <row r="170" spans="3:7" x14ac:dyDescent="0.25">
      <c r="C170" s="174"/>
      <c r="D170" s="174"/>
      <c r="E170" s="174"/>
      <c r="F170" s="174"/>
      <c r="G170" s="174"/>
    </row>
    <row r="171" spans="3:7" x14ac:dyDescent="0.25">
      <c r="C171" s="174"/>
      <c r="D171" s="174"/>
      <c r="E171" s="174"/>
      <c r="F171" s="174"/>
      <c r="G171" s="174"/>
    </row>
    <row r="172" spans="3:7" x14ac:dyDescent="0.25">
      <c r="C172" s="174"/>
      <c r="D172" s="174"/>
      <c r="E172" s="174"/>
      <c r="F172" s="174"/>
      <c r="G172" s="174"/>
    </row>
  </sheetData>
  <sheetProtection algorithmName="SHA-512" hashValue="3F31PfOyyQKQG2Yh1Ar6eijXKA9Hio6YIis/zvEVokldPVrER9EXzqA+26mhb8+3B50EKKbWhvmnQdKo7JIv+w==" saltValue="9cH2srJ6DtoSYqJ8rfhuWQ==" spinCount="100000" sheet="1" objects="1" scenarios="1"/>
  <mergeCells count="62">
    <mergeCell ref="AR8:AR10"/>
    <mergeCell ref="AS8:AS10"/>
    <mergeCell ref="A11:A18"/>
    <mergeCell ref="AR11:AR18"/>
    <mergeCell ref="AS11:AS18"/>
    <mergeCell ref="AA9:AA10"/>
    <mergeCell ref="AB9:AC9"/>
    <mergeCell ref="Z8:Z10"/>
    <mergeCell ref="AA8:AD8"/>
    <mergeCell ref="AD9:AD10"/>
    <mergeCell ref="C11:C14"/>
    <mergeCell ref="C15:C18"/>
    <mergeCell ref="T9:V9"/>
    <mergeCell ref="J8:J10"/>
    <mergeCell ref="K8:Y8"/>
    <mergeCell ref="B11:B14"/>
    <mergeCell ref="B15:B18"/>
    <mergeCell ref="D11:D14"/>
    <mergeCell ref="D15:D18"/>
    <mergeCell ref="W9:Y9"/>
    <mergeCell ref="AH9:AH10"/>
    <mergeCell ref="A8:A10"/>
    <mergeCell ref="B8:B10"/>
    <mergeCell ref="C8:C10"/>
    <mergeCell ref="H8:H10"/>
    <mergeCell ref="I8:I10"/>
    <mergeCell ref="F8:F10"/>
    <mergeCell ref="G8:G10"/>
    <mergeCell ref="E8:E10"/>
    <mergeCell ref="D8:D10"/>
    <mergeCell ref="AF8:AH8"/>
    <mergeCell ref="AE8:AE10"/>
    <mergeCell ref="K9:M9"/>
    <mergeCell ref="N9:P9"/>
    <mergeCell ref="Q9:S9"/>
    <mergeCell ref="AF9:AG9"/>
    <mergeCell ref="AO9:AP9"/>
    <mergeCell ref="AQ9:AQ10"/>
    <mergeCell ref="AI8:AK8"/>
    <mergeCell ref="AL8:AN8"/>
    <mergeCell ref="AO8:AQ8"/>
    <mergeCell ref="AK9:AK10"/>
    <mergeCell ref="AL9:AM9"/>
    <mergeCell ref="AN9:AN10"/>
    <mergeCell ref="AI9:AJ9"/>
    <mergeCell ref="A6:C6"/>
    <mergeCell ref="H6:Z6"/>
    <mergeCell ref="A7:C7"/>
    <mergeCell ref="H7:U7"/>
    <mergeCell ref="V7:Y7"/>
    <mergeCell ref="A4:C4"/>
    <mergeCell ref="H4:Z4"/>
    <mergeCell ref="A5:C5"/>
    <mergeCell ref="H5:U5"/>
    <mergeCell ref="V5:W5"/>
    <mergeCell ref="X5:Z5"/>
    <mergeCell ref="A1:C3"/>
    <mergeCell ref="H1:Z1"/>
    <mergeCell ref="H2:Z2"/>
    <mergeCell ref="H3:Q3"/>
    <mergeCell ref="R3:S3"/>
    <mergeCell ref="T3:Z3"/>
  </mergeCells>
  <conditionalFormatting sqref="P11:P13 S11:S13 V11:V13 M11:M13 V15:V18 S15:S18 P15:P18 M15:M18 Y15:Y18 Y11:Y13">
    <cfRule type="cellIs" dxfId="57" priority="7" stopIfTrue="1" operator="equal">
      <formula>0</formula>
    </cfRule>
    <cfRule type="cellIs" dxfId="56" priority="8" stopIfTrue="1" operator="greaterThan">
      <formula>1</formula>
    </cfRule>
    <cfRule type="cellIs" dxfId="55" priority="9" stopIfTrue="1" operator="between">
      <formula>0.9</formula>
      <formula>1</formula>
    </cfRule>
    <cfRule type="cellIs" dxfId="54" priority="10" stopIfTrue="1" operator="between">
      <formula>0.7</formula>
      <formula>0.8999</formula>
    </cfRule>
    <cfRule type="cellIs" dxfId="53" priority="11" stopIfTrue="1" operator="between">
      <formula>0.00001</formula>
      <formula>0.6999</formula>
    </cfRule>
  </conditionalFormatting>
  <conditionalFormatting sqref="V14 S14 P14 M14 Y14">
    <cfRule type="cellIs" dxfId="52" priority="1" stopIfTrue="1" operator="equal">
      <formula>0</formula>
    </cfRule>
    <cfRule type="cellIs" dxfId="51" priority="2" stopIfTrue="1" operator="greaterThan">
      <formula>1</formula>
    </cfRule>
    <cfRule type="cellIs" dxfId="50" priority="3" stopIfTrue="1" operator="between">
      <formula>0.9</formula>
      <formula>1</formula>
    </cfRule>
    <cfRule type="cellIs" dxfId="49" priority="4" stopIfTrue="1" operator="between">
      <formula>0.7</formula>
      <formula>0.8999</formula>
    </cfRule>
    <cfRule type="cellIs" dxfId="48" priority="5" stopIfTrue="1" operator="between">
      <formula>0.00001</formula>
      <formula>0.6999</formula>
    </cfRule>
  </conditionalFormatting>
  <dataValidations count="7">
    <dataValidation showInputMessage="1" showErrorMessage="1" sqref="V5"/>
    <dataValidation allowBlank="1" showInputMessage="1" showErrorMessage="1" sqref="X5:Z5"/>
    <dataValidation type="list" allowBlank="1" showInputMessage="1" showErrorMessage="1" prompt="Seleccione la Vigencia del Plan de Gestión" sqref="R3:S3">
      <formula1>$A$86:$A$97</formula1>
    </dataValidation>
    <dataValidation type="list" allowBlank="1" showInputMessage="1" showErrorMessage="1" prompt="Elija una opción del menú desplegable" sqref="H5">
      <formula1>$C$86:$C$101</formula1>
    </dataValidation>
    <dataValidation type="list" errorStyle="information" showInputMessage="1" showErrorMessage="1" error="Elija una Categoría" prompt="Elija una opción del menú desplegable" sqref="AD11:AD18">
      <formula1>$C$105:$C$107</formula1>
    </dataValidation>
    <dataValidation errorStyle="information" showInputMessage="1" showErrorMessage="1" error="Elija una Categoría" prompt="Elija una Categoría del menú desplegable" sqref="AE11:AE18"/>
    <dataValidation type="list" allowBlank="1" showInputMessage="1" showErrorMessage="1" sqref="A11">
      <formula1>$C$119:$C$125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METAS PDD 2011</vt:lpstr>
      <vt:lpstr>METAS PROYECTO</vt:lpstr>
      <vt:lpstr>Consolid</vt:lpstr>
      <vt:lpstr>Consolidado</vt:lpstr>
      <vt:lpstr>Resúmen Cumpl</vt:lpstr>
      <vt:lpstr>PE02, PA01, PA03, PA04, PA05</vt:lpstr>
      <vt:lpstr>PM 01 y PM05</vt:lpstr>
      <vt:lpstr>PM 02 y Pm04</vt:lpstr>
      <vt:lpstr>PE01</vt:lpstr>
      <vt:lpstr>PA02</vt:lpstr>
      <vt:lpstr>PE03</vt:lpstr>
      <vt:lpstr>'METAS PDD 2011'!Área_de_impresión</vt:lpstr>
      <vt:lpstr>'METAS PROYECTO'!Área_de_impresión</vt:lpstr>
      <vt:lpstr>'Resúmen Cumpl'!Área_de_impresión</vt:lpstr>
    </vt:vector>
  </TitlesOfParts>
  <Company>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DOMINGUEZ</dc:creator>
  <cp:lastModifiedBy>Angela Mlora</cp:lastModifiedBy>
  <cp:lastPrinted>2019-12-18T12:47:38Z</cp:lastPrinted>
  <dcterms:created xsi:type="dcterms:W3CDTF">2011-07-07T02:30:11Z</dcterms:created>
  <dcterms:modified xsi:type="dcterms:W3CDTF">2019-12-27T13:04:54Z</dcterms:modified>
</cp:coreProperties>
</file>